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HADRA\PycharmProjects\parkinglots\"/>
    </mc:Choice>
  </mc:AlternateContent>
  <xr:revisionPtr revIDLastSave="0" documentId="8_{6834AA72-96CA-4D7C-8F3D-6EA053C76BCE}" xr6:coauthVersionLast="47" xr6:coauthVersionMax="47" xr10:uidLastSave="{00000000-0000-0000-0000-000000000000}"/>
  <bookViews>
    <workbookView xWindow="-98" yWindow="-98" windowWidth="19396" windowHeight="10395"/>
  </bookViews>
  <sheets>
    <sheet name="codealltry" sheetId="1" r:id="rId1"/>
  </sheets>
  <calcPr calcId="0"/>
</workbook>
</file>

<file path=xl/calcChain.xml><?xml version="1.0" encoding="utf-8"?>
<calcChain xmlns="http://schemas.openxmlformats.org/spreadsheetml/2006/main">
  <c r="D2" i="1" l="1"/>
  <c r="D4" i="1"/>
  <c r="D5" i="1"/>
  <c r="D6" i="1"/>
  <c r="D7" i="1"/>
  <c r="D9" i="1"/>
  <c r="D10" i="1"/>
  <c r="D11" i="1"/>
  <c r="D12" i="1"/>
  <c r="D13" i="1"/>
  <c r="D14" i="1"/>
  <c r="D19" i="1"/>
  <c r="D20" i="1"/>
  <c r="D21" i="1"/>
  <c r="D22" i="1"/>
  <c r="D23" i="1"/>
  <c r="D25" i="1"/>
  <c r="D26" i="1"/>
  <c r="D29" i="1"/>
  <c r="D30" i="1"/>
  <c r="D33" i="1"/>
  <c r="D38" i="1"/>
  <c r="D39" i="1"/>
  <c r="D40" i="1"/>
  <c r="D48" i="1"/>
  <c r="D49" i="1"/>
  <c r="D53" i="1"/>
  <c r="D54" i="1"/>
  <c r="D56" i="1"/>
  <c r="D59" i="1"/>
  <c r="D60" i="1"/>
  <c r="D61" i="1"/>
  <c r="D62" i="1"/>
  <c r="D63" i="1"/>
  <c r="D64" i="1"/>
  <c r="D65" i="1"/>
  <c r="D66" i="1"/>
  <c r="D74" i="1"/>
  <c r="D77" i="1"/>
  <c r="D78" i="1"/>
  <c r="D87" i="1"/>
  <c r="D88" i="1"/>
  <c r="D90" i="1"/>
  <c r="D91" i="1"/>
  <c r="D94" i="1"/>
  <c r="D95" i="1"/>
  <c r="D96" i="1"/>
  <c r="D97" i="1"/>
  <c r="D98" i="1"/>
  <c r="D99" i="1"/>
  <c r="D100" i="1"/>
  <c r="D101" i="1"/>
  <c r="D104" i="1"/>
  <c r="D105" i="1"/>
  <c r="D117" i="1"/>
  <c r="D118" i="1"/>
  <c r="D120" i="1"/>
  <c r="D124" i="1"/>
  <c r="D129" i="1"/>
  <c r="D130" i="1"/>
  <c r="D133" i="1"/>
  <c r="D134" i="1"/>
  <c r="D135" i="1"/>
  <c r="D136" i="1"/>
  <c r="D137" i="1"/>
  <c r="D139" i="1"/>
  <c r="D142" i="1"/>
  <c r="D145" i="1"/>
  <c r="D150" i="1"/>
  <c r="D151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5" i="1"/>
  <c r="D176" i="1"/>
  <c r="D178" i="1"/>
  <c r="D179" i="1"/>
  <c r="D184" i="1"/>
  <c r="D185" i="1"/>
  <c r="D186" i="1"/>
  <c r="D187" i="1"/>
  <c r="D188" i="1"/>
  <c r="D190" i="1"/>
  <c r="D191" i="1"/>
  <c r="D192" i="1"/>
  <c r="D193" i="1"/>
  <c r="D196" i="1"/>
  <c r="D197" i="1"/>
  <c r="D198" i="1"/>
  <c r="D199" i="1"/>
  <c r="D200" i="1"/>
  <c r="D201" i="1"/>
  <c r="D202" i="1"/>
  <c r="D203" i="1"/>
  <c r="D204" i="1"/>
  <c r="D206" i="1"/>
  <c r="D207" i="1"/>
  <c r="D208" i="1"/>
  <c r="D209" i="1"/>
  <c r="D210" i="1"/>
  <c r="D213" i="1"/>
  <c r="D214" i="1"/>
  <c r="D215" i="1"/>
  <c r="D216" i="1"/>
  <c r="D217" i="1"/>
  <c r="D220" i="1"/>
  <c r="D221" i="1"/>
  <c r="D226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4" i="1"/>
  <c r="D245" i="1"/>
  <c r="D247" i="1"/>
  <c r="D251" i="1"/>
  <c r="D253" i="1"/>
  <c r="D256" i="1"/>
  <c r="D257" i="1"/>
  <c r="D258" i="1"/>
  <c r="D259" i="1"/>
  <c r="D260" i="1"/>
  <c r="D261" i="1"/>
  <c r="D262" i="1"/>
  <c r="D263" i="1"/>
  <c r="D264" i="1"/>
  <c r="D265" i="1"/>
  <c r="D266" i="1"/>
  <c r="D268" i="1"/>
  <c r="D270" i="1"/>
  <c r="D271" i="1"/>
  <c r="D272" i="1"/>
  <c r="D273" i="1"/>
  <c r="D275" i="1"/>
  <c r="D276" i="1"/>
  <c r="D277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301" i="1"/>
  <c r="D321" i="1"/>
  <c r="D326" i="1"/>
  <c r="D327" i="1"/>
  <c r="D328" i="1"/>
  <c r="D329" i="1"/>
  <c r="D330" i="1"/>
  <c r="D332" i="1"/>
  <c r="D339" i="1"/>
  <c r="D342" i="1"/>
  <c r="D343" i="1"/>
  <c r="D346" i="1"/>
  <c r="D348" i="1"/>
  <c r="D349" i="1"/>
  <c r="D352" i="1"/>
  <c r="D355" i="1"/>
  <c r="D356" i="1"/>
  <c r="D360" i="1"/>
  <c r="D361" i="1"/>
  <c r="D362" i="1"/>
  <c r="D363" i="1"/>
  <c r="D366" i="1"/>
  <c r="D367" i="1"/>
  <c r="D371" i="1"/>
  <c r="D378" i="1"/>
  <c r="D379" i="1"/>
  <c r="D381" i="1"/>
  <c r="D382" i="1"/>
  <c r="D386" i="1"/>
  <c r="D388" i="1"/>
  <c r="D389" i="1"/>
  <c r="D390" i="1"/>
  <c r="D399" i="1"/>
  <c r="D405" i="1"/>
  <c r="D406" i="1"/>
  <c r="D408" i="1"/>
  <c r="D409" i="1"/>
  <c r="D419" i="1"/>
  <c r="D421" i="1"/>
  <c r="D422" i="1"/>
  <c r="D423" i="1"/>
  <c r="D425" i="1"/>
  <c r="D427" i="1"/>
  <c r="D429" i="1"/>
  <c r="D430" i="1"/>
  <c r="D431" i="1"/>
  <c r="D432" i="1"/>
  <c r="D433" i="1"/>
  <c r="D434" i="1"/>
  <c r="D436" i="1"/>
  <c r="D437" i="1"/>
  <c r="D439" i="1"/>
  <c r="D441" i="1"/>
  <c r="D442" i="1"/>
  <c r="D444" i="1"/>
  <c r="D446" i="1"/>
  <c r="D447" i="1"/>
  <c r="D450" i="1"/>
  <c r="D452" i="1"/>
  <c r="D454" i="1"/>
  <c r="D455" i="1"/>
  <c r="D456" i="1"/>
  <c r="D458" i="1"/>
  <c r="D459" i="1"/>
  <c r="D460" i="1"/>
  <c r="D461" i="1"/>
  <c r="D463" i="1"/>
  <c r="D468" i="1"/>
  <c r="D469" i="1"/>
  <c r="D470" i="1"/>
  <c r="D471" i="1"/>
  <c r="D474" i="1"/>
  <c r="D475" i="1"/>
  <c r="D476" i="1"/>
  <c r="D479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9" i="1"/>
  <c r="D570" i="1"/>
  <c r="D572" i="1"/>
  <c r="D573" i="1"/>
  <c r="D574" i="1"/>
  <c r="D575" i="1"/>
  <c r="D576" i="1"/>
  <c r="D577" i="1"/>
  <c r="D578" i="1"/>
  <c r="D581" i="1"/>
  <c r="D585" i="1"/>
  <c r="D587" i="1"/>
  <c r="D588" i="1"/>
  <c r="D589" i="1"/>
  <c r="D590" i="1"/>
  <c r="D592" i="1"/>
  <c r="D595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7" i="1"/>
  <c r="D618" i="1"/>
  <c r="D619" i="1"/>
  <c r="D620" i="1"/>
  <c r="D621" i="1"/>
  <c r="D622" i="1"/>
  <c r="D623" i="1"/>
  <c r="D624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2" i="1"/>
  <c r="D643" i="1"/>
  <c r="D645" i="1"/>
  <c r="D646" i="1"/>
  <c r="D647" i="1"/>
  <c r="D649" i="1"/>
  <c r="D650" i="1"/>
  <c r="D651" i="1"/>
  <c r="D652" i="1"/>
  <c r="D656" i="1"/>
  <c r="D657" i="1"/>
  <c r="D660" i="1"/>
  <c r="D663" i="1"/>
  <c r="D664" i="1"/>
  <c r="D666" i="1"/>
  <c r="D670" i="1"/>
  <c r="D672" i="1"/>
  <c r="D673" i="1"/>
  <c r="D674" i="1"/>
  <c r="D675" i="1"/>
  <c r="D677" i="1"/>
  <c r="D680" i="1"/>
  <c r="D684" i="1"/>
  <c r="D686" i="1"/>
  <c r="D687" i="1"/>
  <c r="D688" i="1"/>
  <c r="D689" i="1"/>
  <c r="D691" i="1"/>
  <c r="D692" i="1"/>
  <c r="D694" i="1"/>
  <c r="D695" i="1"/>
  <c r="D697" i="1"/>
  <c r="D698" i="1"/>
  <c r="D699" i="1"/>
  <c r="D700" i="1"/>
  <c r="D701" i="1"/>
  <c r="D702" i="1"/>
  <c r="D703" i="1"/>
  <c r="D704" i="1"/>
  <c r="D705" i="1"/>
  <c r="D708" i="1"/>
  <c r="D709" i="1"/>
  <c r="D710" i="1"/>
  <c r="D712" i="1"/>
  <c r="D713" i="1"/>
  <c r="D714" i="1"/>
  <c r="D715" i="1"/>
  <c r="D716" i="1"/>
  <c r="D722" i="1"/>
  <c r="D723" i="1"/>
  <c r="D724" i="1"/>
  <c r="D725" i="1"/>
  <c r="D726" i="1"/>
  <c r="D727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4" i="1"/>
  <c r="D745" i="1"/>
  <c r="D749" i="1"/>
  <c r="D750" i="1"/>
  <c r="D751" i="1"/>
  <c r="D752" i="1"/>
  <c r="D756" i="1"/>
  <c r="D757" i="1"/>
  <c r="D758" i="1"/>
  <c r="D759" i="1"/>
  <c r="D760" i="1"/>
  <c r="D761" i="1"/>
  <c r="D762" i="1"/>
  <c r="D766" i="1"/>
  <c r="D767" i="1"/>
  <c r="D768" i="1"/>
  <c r="D771" i="1"/>
  <c r="D774" i="1"/>
  <c r="D775" i="1"/>
  <c r="D776" i="1"/>
  <c r="D778" i="1"/>
  <c r="D779" i="1"/>
  <c r="D781" i="1"/>
  <c r="D784" i="1"/>
  <c r="D786" i="1"/>
  <c r="D787" i="1"/>
  <c r="D790" i="1"/>
  <c r="D793" i="1"/>
  <c r="D795" i="1"/>
  <c r="D796" i="1"/>
  <c r="D797" i="1"/>
  <c r="D798" i="1"/>
  <c r="D799" i="1"/>
  <c r="D801" i="1"/>
  <c r="D802" i="1"/>
  <c r="D806" i="1"/>
  <c r="D813" i="1"/>
  <c r="D819" i="1"/>
  <c r="D834" i="1"/>
  <c r="D835" i="1"/>
  <c r="D836" i="1"/>
  <c r="D843" i="1"/>
  <c r="D850" i="1"/>
  <c r="D851" i="1"/>
  <c r="D852" i="1"/>
  <c r="D853" i="1"/>
  <c r="D854" i="1"/>
  <c r="D855" i="1"/>
  <c r="D856" i="1"/>
  <c r="D858" i="1"/>
  <c r="D861" i="1"/>
  <c r="D863" i="1"/>
  <c r="D864" i="1"/>
  <c r="D865" i="1"/>
  <c r="D866" i="1"/>
  <c r="D867" i="1"/>
  <c r="D868" i="1"/>
  <c r="D870" i="1"/>
  <c r="D873" i="1"/>
  <c r="D874" i="1"/>
  <c r="D876" i="1"/>
  <c r="D879" i="1"/>
  <c r="D880" i="1"/>
  <c r="D883" i="1"/>
  <c r="D884" i="1"/>
  <c r="D889" i="1"/>
  <c r="D890" i="1"/>
  <c r="D891" i="1"/>
  <c r="D892" i="1"/>
  <c r="D894" i="1"/>
  <c r="D898" i="1"/>
  <c r="D905" i="1"/>
  <c r="D906" i="1"/>
  <c r="D908" i="1"/>
  <c r="D919" i="1"/>
  <c r="D921" i="1"/>
  <c r="D924" i="1"/>
  <c r="D925" i="1"/>
  <c r="D928" i="1"/>
  <c r="D929" i="1"/>
  <c r="D932" i="1"/>
  <c r="D934" i="1"/>
  <c r="D935" i="1"/>
  <c r="D938" i="1"/>
  <c r="D939" i="1"/>
  <c r="D941" i="1"/>
  <c r="D942" i="1"/>
  <c r="D954" i="1"/>
  <c r="D955" i="1"/>
  <c r="D956" i="1"/>
  <c r="D958" i="1"/>
  <c r="D959" i="1"/>
  <c r="D963" i="1"/>
  <c r="D964" i="1"/>
  <c r="D965" i="1"/>
  <c r="D966" i="1"/>
  <c r="D968" i="1"/>
  <c r="D973" i="1"/>
  <c r="D977" i="1"/>
  <c r="D978" i="1"/>
  <c r="D980" i="1"/>
  <c r="D982" i="1"/>
  <c r="D983" i="1"/>
  <c r="D986" i="1"/>
  <c r="D994" i="1"/>
  <c r="D996" i="1"/>
  <c r="D999" i="1"/>
  <c r="D1003" i="1"/>
  <c r="D1005" i="1"/>
  <c r="D1006" i="1"/>
  <c r="D1008" i="1"/>
  <c r="D1010" i="1"/>
  <c r="D1011" i="1"/>
  <c r="D1012" i="1"/>
  <c r="D1013" i="1"/>
  <c r="D1014" i="1"/>
  <c r="D1015" i="1"/>
  <c r="D1016" i="1"/>
  <c r="D1017" i="1"/>
  <c r="D1018" i="1"/>
  <c r="D1022" i="1"/>
  <c r="D1023" i="1"/>
  <c r="D1029" i="1"/>
  <c r="D1034" i="1"/>
  <c r="D1035" i="1"/>
  <c r="D1036" i="1"/>
  <c r="D1045" i="1"/>
  <c r="D1049" i="1"/>
  <c r="D1050" i="1"/>
  <c r="D1055" i="1"/>
  <c r="D1056" i="1"/>
  <c r="D1057" i="1"/>
  <c r="D1063" i="1"/>
  <c r="D1073" i="1"/>
  <c r="D1076" i="1"/>
  <c r="D1077" i="1"/>
  <c r="D1078" i="1"/>
  <c r="D1079" i="1"/>
  <c r="D1080" i="1"/>
  <c r="D1083" i="1"/>
  <c r="D1084" i="1"/>
  <c r="D1086" i="1"/>
  <c r="D1092" i="1"/>
  <c r="D1102" i="1"/>
  <c r="D1103" i="1"/>
  <c r="D1104" i="1"/>
  <c r="D1107" i="1"/>
  <c r="D1110" i="1"/>
  <c r="D1113" i="1"/>
  <c r="D1115" i="1"/>
  <c r="D1118" i="1"/>
  <c r="D1121" i="1"/>
  <c r="D1126" i="1"/>
  <c r="D1127" i="1"/>
  <c r="D1133" i="1"/>
  <c r="D1134" i="1"/>
  <c r="D1137" i="1"/>
  <c r="D1140" i="1"/>
  <c r="D1163" i="1"/>
  <c r="D1164" i="1"/>
  <c r="D1165" i="1"/>
  <c r="D1170" i="1"/>
  <c r="D1181" i="1"/>
  <c r="D1183" i="1"/>
  <c r="D1187" i="1"/>
  <c r="D1188" i="1"/>
  <c r="D1189" i="1"/>
  <c r="D1192" i="1"/>
  <c r="D1194" i="1"/>
  <c r="D1197" i="1"/>
  <c r="D1198" i="1"/>
  <c r="D1199" i="1"/>
  <c r="D1200" i="1"/>
  <c r="D1210" i="1"/>
  <c r="D1211" i="1"/>
  <c r="D1212" i="1"/>
  <c r="D1213" i="1"/>
  <c r="D1215" i="1"/>
  <c r="D1218" i="1"/>
  <c r="D1219" i="1"/>
  <c r="D1221" i="1"/>
  <c r="D1232" i="1"/>
  <c r="D1233" i="1"/>
  <c r="D1234" i="1"/>
  <c r="D1235" i="1"/>
  <c r="D1237" i="1"/>
  <c r="D1238" i="1"/>
  <c r="D1239" i="1"/>
  <c r="D1241" i="1"/>
  <c r="D1242" i="1"/>
  <c r="D1254" i="1"/>
  <c r="D1255" i="1"/>
  <c r="D1256" i="1"/>
  <c r="D1257" i="1"/>
  <c r="D1261" i="1"/>
  <c r="D1262" i="1"/>
  <c r="D1266" i="1"/>
  <c r="D1267" i="1"/>
  <c r="D1268" i="1"/>
  <c r="D1269" i="1"/>
  <c r="D1271" i="1"/>
  <c r="D1272" i="1"/>
  <c r="D1273" i="1"/>
  <c r="D1274" i="1"/>
  <c r="D1275" i="1"/>
  <c r="D1276" i="1"/>
  <c r="D1279" i="1"/>
  <c r="D1280" i="1"/>
  <c r="D1284" i="1"/>
  <c r="D1285" i="1"/>
  <c r="D1291" i="1"/>
  <c r="D1294" i="1"/>
  <c r="D1295" i="1"/>
  <c r="D1296" i="1"/>
  <c r="D1298" i="1"/>
  <c r="D1299" i="1"/>
  <c r="D1300" i="1"/>
  <c r="D1301" i="1"/>
  <c r="D1302" i="1"/>
  <c r="D1303" i="1"/>
  <c r="D1306" i="1"/>
  <c r="D1307" i="1"/>
  <c r="D1308" i="1"/>
  <c r="D1309" i="1"/>
  <c r="D1310" i="1"/>
  <c r="D1311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8" i="1"/>
  <c r="D1331" i="1"/>
  <c r="D1332" i="1"/>
  <c r="D1333" i="1"/>
  <c r="D1334" i="1"/>
  <c r="D1335" i="1"/>
  <c r="D1336" i="1"/>
  <c r="D1337" i="1"/>
  <c r="D1338" i="1"/>
  <c r="D1339" i="1"/>
  <c r="D1340" i="1"/>
  <c r="D1341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7" i="1"/>
  <c r="D1358" i="1"/>
  <c r="D1359" i="1"/>
  <c r="D1360" i="1"/>
  <c r="D1361" i="1"/>
  <c r="D1364" i="1"/>
  <c r="D1365" i="1"/>
  <c r="D1366" i="1"/>
  <c r="D1367" i="1"/>
  <c r="D1368" i="1"/>
  <c r="D1369" i="1"/>
  <c r="D1372" i="1"/>
  <c r="D1373" i="1"/>
  <c r="D1374" i="1"/>
  <c r="D1375" i="1"/>
  <c r="D1376" i="1"/>
  <c r="D1378" i="1"/>
  <c r="D1379" i="1"/>
  <c r="D1380" i="1"/>
  <c r="D1381" i="1"/>
  <c r="D1382" i="1"/>
  <c r="D1383" i="1"/>
  <c r="D1384" i="1"/>
  <c r="D1385" i="1"/>
  <c r="D1386" i="1"/>
  <c r="D1387" i="1"/>
  <c r="D1389" i="1"/>
  <c r="D1390" i="1"/>
  <c r="D1391" i="1"/>
  <c r="D1392" i="1"/>
  <c r="D1394" i="1"/>
  <c r="D1395" i="1"/>
  <c r="D1396" i="1"/>
  <c r="D1397" i="1"/>
  <c r="D1399" i="1"/>
  <c r="D1400" i="1"/>
  <c r="D1402" i="1"/>
  <c r="D1404" i="1"/>
  <c r="D1410" i="1"/>
  <c r="D1412" i="1"/>
  <c r="D1419" i="1"/>
  <c r="D1421" i="1"/>
  <c r="D1422" i="1"/>
  <c r="D1424" i="1"/>
  <c r="D1430" i="1"/>
  <c r="D1432" i="1"/>
  <c r="D1434" i="1"/>
  <c r="D1436" i="1"/>
  <c r="D1448" i="1"/>
  <c r="D1449" i="1"/>
  <c r="D1452" i="1"/>
  <c r="D1453" i="1"/>
  <c r="D1454" i="1"/>
  <c r="D1459" i="1"/>
  <c r="D1460" i="1"/>
  <c r="D1462" i="1"/>
  <c r="D1463" i="1"/>
  <c r="D1467" i="1"/>
  <c r="D1468" i="1"/>
  <c r="D1469" i="1"/>
  <c r="D1470" i="1"/>
  <c r="D1472" i="1"/>
  <c r="D1473" i="1"/>
  <c r="D1476" i="1"/>
  <c r="D1477" i="1"/>
  <c r="D1479" i="1"/>
  <c r="D1482" i="1"/>
  <c r="D1483" i="1"/>
  <c r="D1484" i="1"/>
  <c r="D1487" i="1"/>
  <c r="D1488" i="1"/>
  <c r="D1491" i="1"/>
  <c r="D1492" i="1"/>
  <c r="D1493" i="1"/>
  <c r="D1494" i="1"/>
  <c r="D1495" i="1"/>
  <c r="D1496" i="1"/>
  <c r="D1500" i="1"/>
  <c r="D1505" i="1"/>
  <c r="D1506" i="1"/>
  <c r="D1510" i="1"/>
  <c r="D1511" i="1"/>
  <c r="D1513" i="1"/>
  <c r="D1514" i="1"/>
  <c r="D1517" i="1"/>
  <c r="D1518" i="1"/>
  <c r="D1519" i="1"/>
  <c r="D1521" i="1"/>
  <c r="D1523" i="1"/>
  <c r="D1524" i="1"/>
  <c r="D1525" i="1"/>
  <c r="D1526" i="1"/>
  <c r="D1528" i="1"/>
  <c r="D1530" i="1"/>
  <c r="D1532" i="1"/>
  <c r="D1534" i="1"/>
  <c r="D1536" i="1"/>
  <c r="D1537" i="1"/>
  <c r="D1538" i="1"/>
  <c r="D1545" i="1"/>
  <c r="D1546" i="1"/>
  <c r="D1547" i="1"/>
  <c r="D1548" i="1"/>
  <c r="D1551" i="1"/>
  <c r="D1552" i="1"/>
  <c r="D1553" i="1"/>
  <c r="D1554" i="1"/>
  <c r="D1555" i="1"/>
  <c r="D1556" i="1"/>
  <c r="D1558" i="1"/>
  <c r="D1559" i="1"/>
  <c r="D1560" i="1"/>
  <c r="D1561" i="1"/>
  <c r="D1563" i="1"/>
  <c r="D1564" i="1"/>
  <c r="D1565" i="1"/>
  <c r="D1566" i="1"/>
  <c r="D1567" i="1"/>
  <c r="D1569" i="1"/>
  <c r="D1570" i="1"/>
  <c r="D1571" i="1"/>
  <c r="D1574" i="1"/>
  <c r="D1576" i="1"/>
  <c r="D1578" i="1"/>
  <c r="D1580" i="1"/>
  <c r="D1584" i="1"/>
  <c r="D1585" i="1"/>
  <c r="D1586" i="1"/>
  <c r="D1587" i="1"/>
  <c r="D1588" i="1"/>
  <c r="D1589" i="1"/>
  <c r="D1590" i="1"/>
  <c r="D1591" i="1"/>
  <c r="D1592" i="1"/>
  <c r="D1593" i="1"/>
  <c r="D1595" i="1"/>
  <c r="D1596" i="1"/>
  <c r="D1598" i="1"/>
  <c r="D1599" i="1"/>
  <c r="D1600" i="1"/>
  <c r="D1605" i="1"/>
  <c r="D1606" i="1"/>
  <c r="D1609" i="1"/>
  <c r="D1610" i="1"/>
  <c r="D1612" i="1"/>
  <c r="D1615" i="1"/>
  <c r="D1616" i="1"/>
  <c r="D1619" i="1"/>
  <c r="D1620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9" i="1"/>
  <c r="D1662" i="1"/>
  <c r="D1663" i="1"/>
  <c r="D1665" i="1"/>
  <c r="D1666" i="1"/>
  <c r="D1667" i="1"/>
  <c r="D1668" i="1"/>
  <c r="D1669" i="1"/>
  <c r="D1670" i="1"/>
  <c r="D1671" i="1"/>
  <c r="D1672" i="1"/>
  <c r="D1673" i="1"/>
  <c r="D1674" i="1"/>
  <c r="D1687" i="1"/>
  <c r="D1688" i="1"/>
  <c r="D1694" i="1"/>
  <c r="D1695" i="1"/>
  <c r="D1707" i="1"/>
  <c r="D1718" i="1"/>
  <c r="D1720" i="1"/>
  <c r="D1721" i="1"/>
  <c r="D1722" i="1"/>
  <c r="D1723" i="1"/>
  <c r="D1724" i="1"/>
  <c r="D1726" i="1"/>
  <c r="D1728" i="1"/>
  <c r="D1732" i="1"/>
  <c r="D1733" i="1"/>
  <c r="D1735" i="1"/>
  <c r="D1736" i="1"/>
  <c r="D1738" i="1"/>
  <c r="D1740" i="1"/>
  <c r="D1741" i="1"/>
  <c r="D1742" i="1"/>
  <c r="D1744" i="1"/>
  <c r="D1748" i="1"/>
  <c r="D1749" i="1"/>
  <c r="D1754" i="1"/>
  <c r="D1755" i="1"/>
  <c r="D1756" i="1"/>
  <c r="D1757" i="1"/>
  <c r="D1760" i="1"/>
  <c r="D1761" i="1"/>
  <c r="D1762" i="1"/>
  <c r="D1763" i="1"/>
  <c r="D1764" i="1"/>
  <c r="D1765" i="1"/>
  <c r="D1767" i="1"/>
  <c r="D1768" i="1"/>
  <c r="D1770" i="1"/>
  <c r="D1771" i="1"/>
  <c r="D1772" i="1"/>
  <c r="D1773" i="1"/>
  <c r="D1774" i="1"/>
  <c r="D1777" i="1"/>
  <c r="D1778" i="1"/>
  <c r="D1779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7" i="1"/>
  <c r="D1798" i="1"/>
  <c r="D1799" i="1"/>
  <c r="D1800" i="1"/>
  <c r="D1801" i="1"/>
  <c r="D1803" i="1"/>
  <c r="D1804" i="1"/>
  <c r="D1805" i="1"/>
  <c r="D1807" i="1"/>
  <c r="D1808" i="1"/>
  <c r="D1809" i="1"/>
  <c r="D1810" i="1"/>
  <c r="D1811" i="1"/>
  <c r="D1812" i="1"/>
  <c r="D1814" i="1"/>
  <c r="D1815" i="1"/>
  <c r="D1816" i="1"/>
  <c r="D1817" i="1"/>
  <c r="D1818" i="1"/>
  <c r="D1819" i="1"/>
  <c r="D1820" i="1"/>
  <c r="D1823" i="1"/>
  <c r="D1824" i="1"/>
  <c r="D1825" i="1"/>
  <c r="D1826" i="1"/>
  <c r="D1827" i="1"/>
  <c r="D1831" i="1"/>
  <c r="D1832" i="1"/>
  <c r="D1833" i="1"/>
  <c r="D1834" i="1"/>
  <c r="D1835" i="1"/>
  <c r="D1838" i="1"/>
  <c r="D1841" i="1"/>
  <c r="D1844" i="1"/>
  <c r="D1847" i="1"/>
  <c r="D1854" i="1"/>
  <c r="D1858" i="1"/>
  <c r="D1859" i="1"/>
  <c r="D1860" i="1"/>
  <c r="D1861" i="1"/>
  <c r="D1863" i="1"/>
  <c r="D1865" i="1"/>
  <c r="D1870" i="1"/>
  <c r="D1872" i="1"/>
  <c r="D1874" i="1"/>
  <c r="D1877" i="1"/>
  <c r="D1879" i="1"/>
  <c r="D1888" i="1"/>
  <c r="D1896" i="1"/>
  <c r="D1897" i="1"/>
  <c r="D1899" i="1"/>
  <c r="D1900" i="1"/>
  <c r="D1903" i="1"/>
  <c r="D1908" i="1"/>
  <c r="D1911" i="1"/>
  <c r="D1912" i="1"/>
  <c r="D1913" i="1"/>
  <c r="D1925" i="1"/>
  <c r="D1926" i="1"/>
  <c r="D1928" i="1"/>
  <c r="D1930" i="1"/>
  <c r="D1931" i="1"/>
  <c r="D1937" i="1"/>
  <c r="D1938" i="1"/>
  <c r="D1940" i="1"/>
  <c r="D1941" i="1"/>
  <c r="D1955" i="1"/>
  <c r="D1956" i="1"/>
  <c r="D1957" i="1"/>
  <c r="D1958" i="1"/>
  <c r="D1960" i="1"/>
  <c r="D1962" i="1"/>
  <c r="D1963" i="1"/>
  <c r="D1965" i="1"/>
  <c r="D1966" i="1"/>
  <c r="D1969" i="1"/>
  <c r="D1970" i="1"/>
  <c r="D1971" i="1"/>
  <c r="D1972" i="1"/>
  <c r="D1974" i="1"/>
  <c r="D1975" i="1"/>
  <c r="D1976" i="1"/>
  <c r="D1979" i="1"/>
  <c r="D1980" i="1"/>
  <c r="D1981" i="1"/>
  <c r="D1982" i="1"/>
  <c r="D1983" i="1"/>
  <c r="D1984" i="1"/>
  <c r="D1985" i="1"/>
  <c r="D1986" i="1"/>
  <c r="D1987" i="1"/>
  <c r="D1988" i="1"/>
  <c r="D1992" i="1"/>
  <c r="D1993" i="1"/>
  <c r="D1995" i="1"/>
  <c r="D1996" i="1"/>
  <c r="D1997" i="1"/>
  <c r="D1998" i="1"/>
  <c r="D1999" i="1"/>
  <c r="D2000" i="1"/>
  <c r="D2003" i="1"/>
  <c r="D2006" i="1"/>
  <c r="D2009" i="1"/>
  <c r="D2012" i="1"/>
  <c r="D2013" i="1"/>
  <c r="D2014" i="1"/>
  <c r="D2015" i="1"/>
  <c r="D2016" i="1"/>
  <c r="D2017" i="1"/>
  <c r="D2019" i="1"/>
  <c r="D2028" i="1"/>
  <c r="D2029" i="1"/>
  <c r="D2030" i="1"/>
  <c r="D2031" i="1"/>
  <c r="D2032" i="1"/>
  <c r="D2033" i="1"/>
  <c r="D2034" i="1"/>
  <c r="D2041" i="1"/>
  <c r="D2042" i="1"/>
  <c r="D2043" i="1"/>
  <c r="D2047" i="1"/>
  <c r="D2048" i="1"/>
  <c r="D2049" i="1"/>
  <c r="D2051" i="1"/>
  <c r="D2053" i="1"/>
  <c r="D2059" i="1"/>
  <c r="D2061" i="1"/>
  <c r="D2062" i="1"/>
  <c r="D2063" i="1"/>
  <c r="D2064" i="1"/>
  <c r="D2067" i="1"/>
  <c r="D2069" i="1"/>
  <c r="D2070" i="1"/>
  <c r="D2073" i="1"/>
  <c r="D2074" i="1"/>
  <c r="D2076" i="1"/>
  <c r="D2077" i="1"/>
  <c r="D2078" i="1"/>
  <c r="D2079" i="1"/>
  <c r="D2081" i="1"/>
  <c r="D2082" i="1"/>
  <c r="D2083" i="1"/>
  <c r="D2084" i="1"/>
  <c r="D2085" i="1"/>
  <c r="D2086" i="1"/>
  <c r="D2087" i="1"/>
  <c r="D2088" i="1"/>
  <c r="D2091" i="1"/>
  <c r="D2093" i="1"/>
  <c r="D2094" i="1"/>
  <c r="D2098" i="1"/>
  <c r="D2099" i="1"/>
  <c r="D2100" i="1"/>
  <c r="D2101" i="1"/>
  <c r="D2103" i="1"/>
  <c r="D2105" i="1"/>
  <c r="D2106" i="1"/>
  <c r="D2107" i="1"/>
  <c r="D2108" i="1"/>
  <c r="D2109" i="1"/>
  <c r="D2110" i="1"/>
  <c r="D2111" i="1"/>
  <c r="D2114" i="1"/>
  <c r="D2115" i="1"/>
  <c r="D2116" i="1"/>
  <c r="D2117" i="1"/>
  <c r="D2118" i="1"/>
  <c r="D2120" i="1"/>
  <c r="D2124" i="1"/>
  <c r="D2125" i="1"/>
  <c r="D2126" i="1"/>
  <c r="D2127" i="1"/>
  <c r="D2128" i="1"/>
  <c r="D2134" i="1"/>
  <c r="D2136" i="1"/>
  <c r="D2138" i="1"/>
  <c r="D2141" i="1"/>
  <c r="D2146" i="1"/>
  <c r="D2147" i="1"/>
  <c r="D2149" i="1"/>
  <c r="D2153" i="1"/>
  <c r="D2154" i="1"/>
  <c r="D2156" i="1"/>
  <c r="D2157" i="1"/>
  <c r="D2158" i="1"/>
  <c r="D2161" i="1"/>
  <c r="D2162" i="1"/>
  <c r="D2163" i="1"/>
  <c r="D2164" i="1"/>
  <c r="D2166" i="1"/>
  <c r="D2167" i="1"/>
  <c r="D2172" i="1"/>
  <c r="D2176" i="1"/>
  <c r="D2178" i="1"/>
  <c r="D2179" i="1"/>
  <c r="D2180" i="1"/>
  <c r="D2181" i="1"/>
  <c r="D2188" i="1"/>
  <c r="D2189" i="1"/>
  <c r="D2197" i="1"/>
  <c r="D2200" i="1"/>
  <c r="D2203" i="1"/>
  <c r="D2210" i="1"/>
  <c r="D2211" i="1"/>
  <c r="D2212" i="1"/>
  <c r="D2215" i="1"/>
  <c r="D2217" i="1"/>
  <c r="D2219" i="1"/>
  <c r="D2221" i="1"/>
  <c r="D2222" i="1"/>
  <c r="D2224" i="1"/>
  <c r="D2225" i="1"/>
  <c r="D2228" i="1"/>
  <c r="D2229" i="1"/>
  <c r="D2230" i="1"/>
  <c r="D2235" i="1"/>
  <c r="D2236" i="1"/>
  <c r="D2237" i="1"/>
  <c r="D2240" i="1"/>
  <c r="D2241" i="1"/>
  <c r="D2242" i="1"/>
  <c r="D2243" i="1"/>
  <c r="D2244" i="1"/>
  <c r="D2247" i="1"/>
  <c r="D2248" i="1"/>
  <c r="D2249" i="1"/>
  <c r="D2250" i="1"/>
  <c r="D2252" i="1"/>
  <c r="D2257" i="1"/>
  <c r="D2258" i="1"/>
  <c r="D2264" i="1"/>
  <c r="D2265" i="1"/>
  <c r="D2266" i="1"/>
  <c r="D2268" i="1"/>
  <c r="D2269" i="1"/>
  <c r="D2270" i="1"/>
  <c r="D2271" i="1"/>
  <c r="D2273" i="1"/>
  <c r="D2274" i="1"/>
  <c r="D2275" i="1"/>
  <c r="D2276" i="1"/>
  <c r="D2277" i="1"/>
  <c r="D2278" i="1"/>
  <c r="D2280" i="1"/>
  <c r="D2281" i="1"/>
  <c r="D2282" i="1"/>
  <c r="D2283" i="1"/>
  <c r="D2287" i="1"/>
  <c r="D2289" i="1"/>
  <c r="D2290" i="1"/>
  <c r="D2291" i="1"/>
  <c r="D2292" i="1"/>
  <c r="D2293" i="1"/>
  <c r="D2294" i="1"/>
  <c r="D2295" i="1"/>
  <c r="D2296" i="1"/>
  <c r="D2298" i="1"/>
  <c r="D2299" i="1"/>
  <c r="D2300" i="1"/>
  <c r="D2302" i="1"/>
  <c r="D2305" i="1"/>
  <c r="D2308" i="1"/>
  <c r="D2309" i="1"/>
  <c r="D2310" i="1"/>
  <c r="D2322" i="1"/>
  <c r="D2323" i="1"/>
  <c r="D2328" i="1"/>
  <c r="D2329" i="1"/>
  <c r="D2330" i="1"/>
  <c r="D2331" i="1"/>
  <c r="D2332" i="1"/>
  <c r="D2333" i="1"/>
  <c r="D2335" i="1"/>
  <c r="D2336" i="1"/>
  <c r="D2337" i="1"/>
  <c r="D2338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6" i="1"/>
  <c r="D2377" i="1"/>
  <c r="D2381" i="1"/>
  <c r="D2394" i="1"/>
  <c r="D2398" i="1"/>
  <c r="D2399" i="1"/>
  <c r="D2400" i="1"/>
  <c r="D2401" i="1"/>
  <c r="D2402" i="1"/>
  <c r="D2403" i="1"/>
  <c r="D2404" i="1"/>
  <c r="D2406" i="1"/>
  <c r="D2407" i="1"/>
  <c r="D2408" i="1"/>
  <c r="D2409" i="1"/>
  <c r="D2410" i="1"/>
  <c r="D2412" i="1"/>
  <c r="D2413" i="1"/>
  <c r="D2422" i="1"/>
  <c r="D2426" i="1"/>
  <c r="D2432" i="1"/>
  <c r="D2433" i="1"/>
  <c r="D2434" i="1"/>
  <c r="D2438" i="1"/>
  <c r="D2439" i="1"/>
  <c r="D2440" i="1"/>
  <c r="D2441" i="1"/>
  <c r="D2442" i="1"/>
  <c r="D2444" i="1"/>
  <c r="D2445" i="1"/>
  <c r="D2446" i="1"/>
  <c r="D2447" i="1"/>
  <c r="D2448" i="1"/>
  <c r="D2449" i="1"/>
  <c r="D2450" i="1"/>
  <c r="D2452" i="1"/>
  <c r="D2453" i="1"/>
  <c r="D2455" i="1"/>
  <c r="D2456" i="1"/>
  <c r="D2457" i="1"/>
  <c r="D2459" i="1"/>
  <c r="D2460" i="1"/>
  <c r="D2462" i="1"/>
  <c r="D2463" i="1"/>
  <c r="D2465" i="1"/>
  <c r="D2466" i="1"/>
  <c r="D2468" i="1"/>
  <c r="D2469" i="1"/>
  <c r="D2470" i="1"/>
  <c r="D2471" i="1"/>
  <c r="D2475" i="1"/>
  <c r="D2476" i="1"/>
  <c r="D2477" i="1"/>
  <c r="D2478" i="1"/>
  <c r="D2480" i="1"/>
  <c r="D2483" i="1"/>
  <c r="D2486" i="1"/>
  <c r="D2487" i="1"/>
  <c r="D2488" i="1"/>
  <c r="D2489" i="1"/>
  <c r="D2490" i="1"/>
  <c r="D2491" i="1"/>
  <c r="D2492" i="1"/>
  <c r="D2494" i="1"/>
  <c r="D2495" i="1"/>
  <c r="D2502" i="1"/>
  <c r="D2503" i="1"/>
  <c r="D2504" i="1"/>
  <c r="D2505" i="1"/>
  <c r="D2508" i="1"/>
  <c r="D2509" i="1"/>
  <c r="D2510" i="1"/>
  <c r="D2513" i="1"/>
  <c r="D2516" i="1"/>
  <c r="D2517" i="1"/>
  <c r="D2518" i="1"/>
  <c r="D2519" i="1"/>
  <c r="D2520" i="1"/>
  <c r="D2522" i="1"/>
  <c r="D2523" i="1"/>
  <c r="D2530" i="1"/>
  <c r="D2532" i="1"/>
  <c r="D2533" i="1"/>
  <c r="D2534" i="1"/>
  <c r="D2536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1" i="1"/>
  <c r="D2552" i="1"/>
  <c r="D2554" i="1"/>
  <c r="D2555" i="1"/>
  <c r="D2556" i="1"/>
  <c r="D2557" i="1"/>
  <c r="D2558" i="1"/>
  <c r="D2559" i="1"/>
  <c r="D2560" i="1"/>
  <c r="D2561" i="1"/>
  <c r="D2562" i="1"/>
  <c r="D2564" i="1"/>
  <c r="D2565" i="1"/>
  <c r="D2567" i="1"/>
  <c r="D2572" i="1"/>
  <c r="D2573" i="1"/>
  <c r="D2574" i="1"/>
  <c r="D2575" i="1"/>
  <c r="D2577" i="1"/>
  <c r="D2579" i="1"/>
  <c r="D2580" i="1"/>
  <c r="D2581" i="1"/>
  <c r="D2585" i="1"/>
  <c r="D2586" i="1"/>
  <c r="D2587" i="1"/>
  <c r="D2588" i="1"/>
  <c r="D2591" i="1"/>
  <c r="D2592" i="1"/>
  <c r="D2593" i="1"/>
  <c r="D2594" i="1"/>
  <c r="D2597" i="1"/>
  <c r="D2600" i="1"/>
  <c r="D2601" i="1"/>
  <c r="D2602" i="1"/>
  <c r="D2603" i="1"/>
  <c r="D2604" i="1"/>
  <c r="D2606" i="1"/>
  <c r="D2607" i="1"/>
  <c r="D2608" i="1"/>
  <c r="D2610" i="1"/>
  <c r="D2613" i="1"/>
  <c r="D2616" i="1"/>
  <c r="D2618" i="1"/>
  <c r="D2620" i="1"/>
  <c r="D2621" i="1"/>
  <c r="D2622" i="1"/>
  <c r="D2623" i="1"/>
  <c r="D2625" i="1"/>
  <c r="D2626" i="1"/>
  <c r="D2629" i="1"/>
  <c r="D2630" i="1"/>
  <c r="D2635" i="1"/>
  <c r="D2636" i="1"/>
  <c r="D2639" i="1"/>
  <c r="D2641" i="1"/>
  <c r="D2642" i="1"/>
  <c r="D2643" i="1"/>
  <c r="D2644" i="1"/>
  <c r="D2645" i="1"/>
  <c r="D2647" i="1"/>
  <c r="D2648" i="1"/>
  <c r="D2650" i="1"/>
  <c r="D2651" i="1"/>
  <c r="D2654" i="1"/>
  <c r="D265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9" i="1"/>
  <c r="D2680" i="1"/>
  <c r="D2681" i="1"/>
  <c r="D2682" i="1"/>
  <c r="D2683" i="1"/>
  <c r="D2684" i="1"/>
  <c r="D2685" i="1"/>
  <c r="D2686" i="1"/>
  <c r="D2687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4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5" i="1"/>
  <c r="D2728" i="1"/>
  <c r="D2730" i="1"/>
  <c r="D2731" i="1"/>
  <c r="D2735" i="1"/>
  <c r="D2736" i="1"/>
  <c r="D2737" i="1"/>
  <c r="D2738" i="1"/>
  <c r="D2739" i="1"/>
  <c r="D2740" i="1"/>
  <c r="D2741" i="1"/>
  <c r="D2744" i="1"/>
  <c r="D2745" i="1"/>
  <c r="D2746" i="1"/>
  <c r="D2747" i="1"/>
  <c r="D2748" i="1"/>
  <c r="D2750" i="1"/>
  <c r="D2754" i="1"/>
  <c r="D2755" i="1"/>
  <c r="D2756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2" i="1"/>
  <c r="D2785" i="1"/>
  <c r="D2786" i="1"/>
  <c r="D2788" i="1"/>
  <c r="D2789" i="1"/>
  <c r="D2790" i="1"/>
  <c r="D2791" i="1"/>
  <c r="D2792" i="1"/>
  <c r="D2793" i="1"/>
  <c r="D2794" i="1"/>
  <c r="D2795" i="1"/>
  <c r="D2798" i="1"/>
  <c r="D2801" i="1"/>
  <c r="D2805" i="1"/>
  <c r="D2807" i="1"/>
  <c r="D2810" i="1"/>
  <c r="D2812" i="1"/>
  <c r="D2813" i="1"/>
  <c r="D2814" i="1"/>
  <c r="D2815" i="1"/>
  <c r="D2816" i="1"/>
  <c r="D2817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5" i="1"/>
  <c r="D2856" i="1"/>
  <c r="D2857" i="1"/>
  <c r="D2860" i="1"/>
  <c r="D2862" i="1"/>
  <c r="D2863" i="1"/>
  <c r="D2868" i="1"/>
  <c r="D2870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7" i="1"/>
  <c r="D2892" i="1"/>
  <c r="D2893" i="1"/>
  <c r="D2894" i="1"/>
  <c r="D2895" i="1"/>
  <c r="D2896" i="1"/>
  <c r="D2897" i="1"/>
  <c r="D2898" i="1"/>
  <c r="D2899" i="1"/>
  <c r="D2901" i="1"/>
  <c r="D2903" i="1"/>
  <c r="D2905" i="1"/>
  <c r="D2906" i="1"/>
  <c r="D2907" i="1"/>
  <c r="D2908" i="1"/>
  <c r="D2909" i="1"/>
  <c r="D2910" i="1"/>
  <c r="D2911" i="1"/>
  <c r="D2913" i="1"/>
  <c r="D2918" i="1"/>
  <c r="D2919" i="1"/>
  <c r="D2920" i="1"/>
  <c r="D2921" i="1"/>
  <c r="D2922" i="1"/>
  <c r="D2923" i="1"/>
  <c r="D2924" i="1"/>
  <c r="D2925" i="1"/>
  <c r="D2928" i="1"/>
  <c r="D2930" i="1"/>
  <c r="D2932" i="1"/>
  <c r="D2933" i="1"/>
  <c r="D2934" i="1"/>
  <c r="D2935" i="1"/>
  <c r="D2936" i="1"/>
  <c r="D2937" i="1"/>
  <c r="D2938" i="1"/>
  <c r="D2939" i="1"/>
  <c r="D2940" i="1"/>
  <c r="D2941" i="1"/>
  <c r="D2942" i="1"/>
  <c r="D2944" i="1"/>
  <c r="D2945" i="1"/>
  <c r="D2946" i="1"/>
  <c r="D2947" i="1"/>
  <c r="D2948" i="1"/>
  <c r="D2949" i="1"/>
  <c r="D2950" i="1"/>
  <c r="D2951" i="1"/>
  <c r="D2952" i="1"/>
  <c r="D2954" i="1"/>
  <c r="D2960" i="1"/>
  <c r="D2969" i="1"/>
  <c r="D2974" i="1"/>
  <c r="D2975" i="1"/>
  <c r="D2978" i="1"/>
  <c r="D2981" i="1"/>
  <c r="D2982" i="1"/>
  <c r="D2983" i="1"/>
  <c r="D2988" i="1"/>
  <c r="D2994" i="1"/>
  <c r="D2995" i="1"/>
  <c r="D2996" i="1"/>
  <c r="D2999" i="1"/>
  <c r="D3004" i="1"/>
  <c r="D3007" i="1"/>
  <c r="D3009" i="1"/>
  <c r="D3010" i="1"/>
  <c r="D3013" i="1"/>
  <c r="D3014" i="1"/>
  <c r="D3015" i="1"/>
  <c r="D3017" i="1"/>
  <c r="D3018" i="1"/>
  <c r="D3019" i="1"/>
  <c r="D3023" i="1"/>
  <c r="D3034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2" i="1"/>
  <c r="D3053" i="1"/>
  <c r="D3054" i="1"/>
  <c r="D3055" i="1"/>
  <c r="D3056" i="1"/>
  <c r="D3057" i="1"/>
  <c r="D3058" i="1"/>
  <c r="D3061" i="1"/>
  <c r="D3062" i="1"/>
  <c r="D3063" i="1"/>
  <c r="D3064" i="1"/>
  <c r="D3065" i="1"/>
  <c r="D3068" i="1"/>
  <c r="D3069" i="1"/>
  <c r="D3070" i="1"/>
  <c r="D3071" i="1"/>
  <c r="D3072" i="1"/>
  <c r="D3073" i="1"/>
  <c r="D3074" i="1"/>
  <c r="D3075" i="1"/>
  <c r="D3076" i="1"/>
  <c r="D3079" i="1"/>
  <c r="D3081" i="1"/>
  <c r="D3082" i="1"/>
  <c r="D3084" i="1"/>
  <c r="D3085" i="1"/>
  <c r="D3086" i="1"/>
  <c r="D3088" i="1"/>
  <c r="D3089" i="1"/>
  <c r="D3090" i="1"/>
  <c r="D3091" i="1"/>
  <c r="D3093" i="1"/>
  <c r="D3094" i="1"/>
  <c r="D3095" i="1"/>
  <c r="D3097" i="1"/>
  <c r="D3098" i="1"/>
  <c r="D3099" i="1"/>
  <c r="D3101" i="1"/>
  <c r="D3102" i="1"/>
  <c r="D3104" i="1"/>
  <c r="D3105" i="1"/>
  <c r="D3106" i="1"/>
  <c r="D3111" i="1"/>
  <c r="D3113" i="1"/>
  <c r="D3114" i="1"/>
  <c r="D3115" i="1"/>
  <c r="D3118" i="1"/>
  <c r="D3121" i="1"/>
  <c r="D3126" i="1"/>
  <c r="D3127" i="1"/>
  <c r="D3129" i="1"/>
  <c r="D3134" i="1"/>
  <c r="D3135" i="1"/>
  <c r="D3136" i="1"/>
  <c r="D3137" i="1"/>
  <c r="D3138" i="1"/>
  <c r="D3139" i="1"/>
  <c r="D3140" i="1"/>
  <c r="D3141" i="1"/>
  <c r="D3142" i="1"/>
  <c r="D3144" i="1"/>
  <c r="D3145" i="1"/>
  <c r="D3152" i="1"/>
  <c r="D3154" i="1"/>
  <c r="D3155" i="1"/>
  <c r="D3157" i="1"/>
  <c r="D3160" i="1"/>
  <c r="D3163" i="1"/>
  <c r="D3164" i="1"/>
  <c r="D3166" i="1"/>
  <c r="D3167" i="1"/>
  <c r="D3170" i="1"/>
  <c r="D3172" i="1"/>
  <c r="D3175" i="1"/>
  <c r="D3176" i="1"/>
  <c r="D3179" i="1"/>
  <c r="D3184" i="1"/>
  <c r="D3188" i="1"/>
  <c r="D3189" i="1"/>
  <c r="D3190" i="1"/>
  <c r="D3194" i="1"/>
  <c r="D3200" i="1"/>
  <c r="D3201" i="1"/>
  <c r="D3202" i="1"/>
  <c r="D3203" i="1"/>
  <c r="D3204" i="1"/>
  <c r="D3207" i="1"/>
  <c r="D3210" i="1"/>
  <c r="D3211" i="1"/>
  <c r="D3212" i="1"/>
  <c r="D3213" i="1"/>
  <c r="D3214" i="1"/>
  <c r="D3215" i="1"/>
  <c r="D3216" i="1"/>
  <c r="D3223" i="1"/>
  <c r="D3224" i="1"/>
  <c r="D3226" i="1"/>
  <c r="D3231" i="1"/>
  <c r="D3232" i="1"/>
  <c r="D3233" i="1"/>
  <c r="D3234" i="1"/>
  <c r="D3235" i="1"/>
  <c r="D3239" i="1"/>
  <c r="D3242" i="1"/>
  <c r="D3248" i="1"/>
  <c r="D3249" i="1"/>
  <c r="D3250" i="1"/>
  <c r="D3251" i="1"/>
  <c r="D3252" i="1"/>
  <c r="D3253" i="1"/>
  <c r="D3254" i="1"/>
  <c r="D3256" i="1"/>
  <c r="D3257" i="1"/>
  <c r="D3258" i="1"/>
  <c r="D3261" i="1"/>
  <c r="D3262" i="1"/>
  <c r="D3265" i="1"/>
  <c r="D3267" i="1"/>
  <c r="D3271" i="1"/>
  <c r="D3274" i="1"/>
  <c r="D3278" i="1"/>
  <c r="D3279" i="1"/>
  <c r="D3280" i="1"/>
  <c r="D3282" i="1"/>
  <c r="D3283" i="1"/>
  <c r="D3284" i="1"/>
  <c r="D3285" i="1"/>
  <c r="D3288" i="1"/>
  <c r="D3289" i="1"/>
  <c r="D3292" i="1"/>
  <c r="D3293" i="1"/>
  <c r="D3295" i="1"/>
  <c r="D3297" i="1"/>
  <c r="D3298" i="1"/>
  <c r="D3299" i="1"/>
  <c r="D3300" i="1"/>
  <c r="D3301" i="1"/>
  <c r="D3302" i="1"/>
  <c r="D3303" i="1"/>
  <c r="D3304" i="1"/>
  <c r="D3306" i="1"/>
  <c r="D3307" i="1"/>
  <c r="D3312" i="1"/>
  <c r="D3313" i="1"/>
  <c r="D3319" i="1"/>
  <c r="D3324" i="1"/>
  <c r="D3327" i="1"/>
  <c r="D3332" i="1"/>
  <c r="D3335" i="1"/>
  <c r="D3338" i="1"/>
  <c r="D3339" i="1"/>
  <c r="D3348" i="1"/>
  <c r="D3349" i="1"/>
  <c r="D3350" i="1"/>
  <c r="D3353" i="1"/>
  <c r="D3355" i="1"/>
  <c r="D3356" i="1"/>
  <c r="D3357" i="1"/>
  <c r="D3358" i="1"/>
  <c r="D3359" i="1"/>
  <c r="D3360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6" i="1"/>
  <c r="D3391" i="1"/>
  <c r="D3392" i="1"/>
  <c r="D3393" i="1"/>
  <c r="D3394" i="1"/>
  <c r="D3396" i="1"/>
  <c r="D3397" i="1"/>
  <c r="D3401" i="1"/>
  <c r="D3402" i="1"/>
  <c r="D3403" i="1"/>
  <c r="D3404" i="1"/>
  <c r="D3405" i="1"/>
  <c r="D3407" i="1"/>
  <c r="D3414" i="1"/>
  <c r="D3415" i="1"/>
  <c r="D3416" i="1"/>
  <c r="D3422" i="1"/>
  <c r="D3423" i="1"/>
  <c r="D3424" i="1"/>
  <c r="D3430" i="1"/>
  <c r="D3431" i="1"/>
  <c r="D3441" i="1"/>
  <c r="D3442" i="1"/>
  <c r="D3445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2" i="1"/>
  <c r="D3465" i="1"/>
  <c r="D3483" i="1"/>
  <c r="D3485" i="1"/>
  <c r="D3486" i="1"/>
  <c r="D3487" i="1"/>
  <c r="D3488" i="1"/>
  <c r="D3489" i="1"/>
  <c r="D3491" i="1"/>
  <c r="D3493" i="1"/>
  <c r="D3495" i="1"/>
  <c r="D3498" i="1"/>
  <c r="D3500" i="1"/>
  <c r="D3501" i="1"/>
  <c r="D3502" i="1"/>
  <c r="D3503" i="1"/>
  <c r="D3505" i="1"/>
  <c r="D3506" i="1"/>
  <c r="D3509" i="1"/>
  <c r="D3510" i="1"/>
  <c r="D3511" i="1"/>
  <c r="D3512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8" i="1"/>
  <c r="D3529" i="1"/>
  <c r="D3530" i="1"/>
  <c r="D3531" i="1"/>
  <c r="D3532" i="1"/>
  <c r="D3533" i="1"/>
  <c r="D3534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62" i="1"/>
  <c r="D3563" i="1"/>
  <c r="D3564" i="1"/>
  <c r="D3566" i="1"/>
  <c r="D3567" i="1"/>
  <c r="D3568" i="1"/>
  <c r="D3570" i="1"/>
  <c r="D3571" i="1"/>
  <c r="D3572" i="1"/>
  <c r="D3573" i="1"/>
  <c r="D3574" i="1"/>
  <c r="D3576" i="1"/>
  <c r="D3577" i="1"/>
  <c r="D3578" i="1"/>
  <c r="D3580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8" i="1"/>
  <c r="D3601" i="1"/>
  <c r="D3602" i="1"/>
  <c r="D3603" i="1"/>
  <c r="D3604" i="1"/>
  <c r="D3605" i="1"/>
  <c r="D3608" i="1"/>
  <c r="D3609" i="1"/>
  <c r="D3614" i="1"/>
  <c r="D3615" i="1"/>
  <c r="D3616" i="1"/>
  <c r="D3617" i="1"/>
  <c r="D3618" i="1"/>
  <c r="D3619" i="1"/>
  <c r="D3620" i="1"/>
  <c r="D3621" i="1"/>
  <c r="D3623" i="1"/>
  <c r="D3624" i="1"/>
  <c r="D3625" i="1"/>
  <c r="D3626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4" i="1"/>
  <c r="D3645" i="1"/>
  <c r="D3646" i="1"/>
  <c r="D3647" i="1"/>
  <c r="D3648" i="1"/>
  <c r="D3649" i="1"/>
  <c r="D3650" i="1"/>
  <c r="D3651" i="1"/>
  <c r="D3654" i="1"/>
  <c r="D3655" i="1"/>
  <c r="D3658" i="1"/>
  <c r="D3659" i="1"/>
  <c r="D3661" i="1"/>
  <c r="D3662" i="1"/>
  <c r="D3664" i="1"/>
  <c r="D3667" i="1"/>
  <c r="D3668" i="1"/>
  <c r="D3669" i="1"/>
  <c r="D3670" i="1"/>
  <c r="D3672" i="1"/>
  <c r="D3673" i="1"/>
  <c r="D3676" i="1"/>
  <c r="D3678" i="1"/>
  <c r="D3680" i="1"/>
  <c r="D3681" i="1"/>
  <c r="D3682" i="1"/>
  <c r="D3683" i="1"/>
  <c r="D3684" i="1"/>
  <c r="D3685" i="1"/>
  <c r="D3688" i="1"/>
  <c r="D3689" i="1"/>
  <c r="D3692" i="1"/>
  <c r="D3694" i="1"/>
  <c r="D3695" i="1"/>
  <c r="D3700" i="1"/>
  <c r="D3702" i="1"/>
  <c r="D3703" i="1"/>
  <c r="D3704" i="1"/>
  <c r="D3715" i="1"/>
  <c r="D3717" i="1"/>
  <c r="D3718" i="1"/>
  <c r="D3720" i="1"/>
  <c r="D3722" i="1"/>
  <c r="D3730" i="1"/>
  <c r="D3731" i="1"/>
  <c r="D3732" i="1"/>
  <c r="D3733" i="1"/>
  <c r="D3736" i="1"/>
  <c r="D3737" i="1"/>
  <c r="D3738" i="1"/>
  <c r="D3741" i="1"/>
  <c r="D3749" i="1"/>
  <c r="D3760" i="1"/>
  <c r="D3761" i="1"/>
  <c r="D3762" i="1"/>
  <c r="D3763" i="1"/>
  <c r="D3765" i="1"/>
  <c r="D3766" i="1"/>
  <c r="D3767" i="1"/>
  <c r="D3771" i="1"/>
  <c r="D3772" i="1"/>
  <c r="D3773" i="1"/>
  <c r="D3775" i="1"/>
  <c r="D3776" i="1"/>
  <c r="D3777" i="1"/>
  <c r="D3778" i="1"/>
  <c r="D3779" i="1"/>
  <c r="D3780" i="1"/>
  <c r="D3781" i="1"/>
  <c r="D3782" i="1"/>
  <c r="D3788" i="1"/>
  <c r="D3789" i="1"/>
  <c r="D3790" i="1"/>
  <c r="D3791" i="1"/>
  <c r="D3792" i="1"/>
  <c r="D3793" i="1"/>
  <c r="D3794" i="1"/>
  <c r="D3795" i="1"/>
  <c r="D3796" i="1"/>
  <c r="D3797" i="1"/>
  <c r="D3798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23" i="1"/>
  <c r="D3824" i="1"/>
  <c r="D3825" i="1"/>
  <c r="D3826" i="1"/>
  <c r="D3827" i="1"/>
  <c r="D3831" i="1"/>
  <c r="D3833" i="1"/>
  <c r="D3838" i="1"/>
  <c r="D3841" i="1"/>
  <c r="D3848" i="1"/>
  <c r="D3849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4" i="1"/>
  <c r="D3875" i="1"/>
  <c r="D3876" i="1"/>
  <c r="D3877" i="1"/>
  <c r="D3878" i="1"/>
  <c r="D3879" i="1"/>
  <c r="D3880" i="1"/>
  <c r="D3881" i="1"/>
  <c r="D3882" i="1"/>
  <c r="D3883" i="1"/>
  <c r="D3885" i="1"/>
  <c r="D3886" i="1"/>
  <c r="D3892" i="1"/>
  <c r="D3894" i="1"/>
  <c r="D3895" i="1"/>
  <c r="D3898" i="1"/>
  <c r="D3902" i="1"/>
  <c r="D3907" i="1"/>
  <c r="D3910" i="1"/>
  <c r="D3915" i="1"/>
  <c r="D3916" i="1"/>
  <c r="D3917" i="1"/>
  <c r="D3918" i="1"/>
  <c r="D3919" i="1"/>
  <c r="D3920" i="1"/>
  <c r="D3922" i="1"/>
  <c r="D3923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9" i="1"/>
  <c r="D3951" i="1"/>
  <c r="D3952" i="1"/>
  <c r="D3955" i="1"/>
  <c r="D3956" i="1"/>
  <c r="D3957" i="1"/>
  <c r="D3958" i="1"/>
  <c r="D3964" i="1"/>
  <c r="D3966" i="1"/>
  <c r="D3969" i="1"/>
  <c r="D3970" i="1"/>
  <c r="D3971" i="1"/>
  <c r="D3972" i="1"/>
  <c r="D3973" i="1"/>
  <c r="D3974" i="1"/>
  <c r="D3975" i="1"/>
  <c r="D3976" i="1"/>
  <c r="D3977" i="1"/>
  <c r="D3978" i="1"/>
  <c r="D3980" i="1"/>
  <c r="D3985" i="1"/>
  <c r="D3990" i="1"/>
  <c r="D3997" i="1"/>
  <c r="D3998" i="1"/>
  <c r="D4000" i="1"/>
  <c r="D4001" i="1"/>
  <c r="D4002" i="1"/>
  <c r="D4005" i="1"/>
  <c r="D4009" i="1"/>
  <c r="D4010" i="1"/>
  <c r="D4011" i="1"/>
  <c r="D4012" i="1"/>
  <c r="D4015" i="1"/>
  <c r="D4017" i="1"/>
  <c r="D4018" i="1"/>
  <c r="D4019" i="1"/>
  <c r="D4020" i="1"/>
  <c r="D4027" i="1"/>
  <c r="D4028" i="1"/>
  <c r="D4029" i="1"/>
  <c r="D4030" i="1"/>
  <c r="D4031" i="1"/>
  <c r="D4032" i="1"/>
  <c r="D4033" i="1"/>
  <c r="D4039" i="1"/>
  <c r="D4040" i="1"/>
  <c r="D4042" i="1"/>
  <c r="D4046" i="1"/>
  <c r="D4049" i="1"/>
  <c r="D4050" i="1"/>
  <c r="D4051" i="1"/>
  <c r="D4053" i="1"/>
  <c r="D4054" i="1"/>
  <c r="D4055" i="1"/>
  <c r="D4056" i="1"/>
  <c r="D4059" i="1"/>
  <c r="D4060" i="1"/>
  <c r="D4061" i="1"/>
  <c r="D4062" i="1"/>
  <c r="D4069" i="1"/>
  <c r="D4070" i="1"/>
  <c r="D4072" i="1"/>
  <c r="D4074" i="1"/>
  <c r="D4076" i="1"/>
  <c r="D4077" i="1"/>
  <c r="D4079" i="1"/>
  <c r="D4081" i="1"/>
  <c r="D4083" i="1"/>
  <c r="D4084" i="1"/>
  <c r="D4085" i="1"/>
  <c r="D4086" i="1"/>
  <c r="D4087" i="1"/>
  <c r="D4088" i="1"/>
  <c r="D4089" i="1"/>
  <c r="D4090" i="1"/>
  <c r="D4091" i="1"/>
  <c r="D4093" i="1"/>
  <c r="D4094" i="1"/>
  <c r="D4096" i="1"/>
  <c r="D4098" i="1"/>
  <c r="D4100" i="1"/>
  <c r="D4101" i="1"/>
  <c r="D4102" i="1"/>
  <c r="D4103" i="1"/>
  <c r="D4108" i="1"/>
  <c r="D4109" i="1"/>
  <c r="D4112" i="1"/>
  <c r="D4113" i="1"/>
  <c r="D4114" i="1"/>
  <c r="D4116" i="1"/>
  <c r="D4117" i="1"/>
  <c r="D4118" i="1"/>
  <c r="D4120" i="1"/>
  <c r="D4125" i="1"/>
  <c r="D4132" i="1"/>
  <c r="D4135" i="1"/>
  <c r="D4136" i="1"/>
  <c r="D4138" i="1"/>
  <c r="D4141" i="1"/>
  <c r="D4144" i="1"/>
  <c r="D4145" i="1"/>
  <c r="D4147" i="1"/>
  <c r="D4148" i="1"/>
  <c r="D4149" i="1"/>
  <c r="D4153" i="1"/>
  <c r="D4154" i="1"/>
  <c r="D4156" i="1"/>
  <c r="D4157" i="1"/>
  <c r="D4160" i="1"/>
  <c r="D4163" i="1"/>
  <c r="D4165" i="1"/>
  <c r="D4168" i="1"/>
  <c r="D4173" i="1"/>
  <c r="D4174" i="1"/>
  <c r="D4175" i="1"/>
  <c r="D4178" i="1"/>
  <c r="D4181" i="1"/>
  <c r="D4183" i="1"/>
  <c r="D4184" i="1"/>
  <c r="D4185" i="1"/>
  <c r="D4186" i="1"/>
  <c r="D4188" i="1"/>
  <c r="D4189" i="1"/>
  <c r="D4191" i="1"/>
  <c r="D4192" i="1"/>
  <c r="D4193" i="1"/>
  <c r="D4194" i="1"/>
  <c r="D4195" i="1"/>
  <c r="D4196" i="1"/>
  <c r="D4197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2" i="1"/>
  <c r="D4214" i="1"/>
  <c r="D4215" i="1"/>
  <c r="D4221" i="1"/>
  <c r="D4222" i="1"/>
  <c r="D4223" i="1"/>
  <c r="D4224" i="1"/>
  <c r="D4225" i="1"/>
  <c r="D4227" i="1"/>
  <c r="D4228" i="1"/>
  <c r="D4232" i="1"/>
  <c r="D4233" i="1"/>
  <c r="D4234" i="1"/>
  <c r="D4235" i="1"/>
  <c r="D4236" i="1"/>
  <c r="D4237" i="1"/>
  <c r="D4238" i="1"/>
  <c r="D4239" i="1"/>
  <c r="D4240" i="1"/>
  <c r="D4242" i="1"/>
  <c r="D4243" i="1"/>
  <c r="D4244" i="1"/>
  <c r="D4245" i="1"/>
  <c r="D4247" i="1"/>
  <c r="D4248" i="1"/>
  <c r="D4250" i="1"/>
  <c r="D4261" i="1"/>
  <c r="D4262" i="1"/>
  <c r="D4263" i="1"/>
  <c r="D4264" i="1"/>
  <c r="D4268" i="1"/>
  <c r="D4269" i="1"/>
  <c r="D4270" i="1"/>
  <c r="D4271" i="1"/>
  <c r="D4273" i="1"/>
  <c r="D4274" i="1"/>
  <c r="D4275" i="1"/>
  <c r="D4276" i="1"/>
  <c r="D4277" i="1"/>
  <c r="D4278" i="1"/>
  <c r="D4283" i="1"/>
  <c r="D4284" i="1"/>
  <c r="D4285" i="1"/>
  <c r="D4286" i="1"/>
  <c r="D4294" i="1"/>
  <c r="D4296" i="1"/>
  <c r="D4300" i="1"/>
  <c r="D4301" i="1"/>
  <c r="D4302" i="1"/>
  <c r="D4308" i="1"/>
  <c r="D4309" i="1"/>
  <c r="D4310" i="1"/>
  <c r="D4314" i="1"/>
  <c r="D4315" i="1"/>
  <c r="D4318" i="1"/>
  <c r="D4319" i="1"/>
  <c r="D4322" i="1"/>
  <c r="D4323" i="1"/>
  <c r="D4324" i="1"/>
  <c r="D4325" i="1"/>
  <c r="D4326" i="1"/>
  <c r="D4327" i="1"/>
  <c r="D4328" i="1"/>
  <c r="D4332" i="1"/>
  <c r="D4333" i="1"/>
  <c r="D4334" i="1"/>
  <c r="D4335" i="1"/>
  <c r="D4339" i="1"/>
  <c r="D4340" i="1"/>
  <c r="D4341" i="1"/>
  <c r="D4342" i="1"/>
  <c r="D4343" i="1"/>
  <c r="D4344" i="1"/>
  <c r="D4347" i="1"/>
  <c r="D4349" i="1"/>
  <c r="D4350" i="1"/>
  <c r="D4351" i="1"/>
  <c r="D4352" i="1"/>
  <c r="D4353" i="1"/>
  <c r="D4354" i="1"/>
  <c r="D4355" i="1"/>
  <c r="D4356" i="1"/>
  <c r="D4362" i="1"/>
  <c r="D4363" i="1"/>
  <c r="D4366" i="1"/>
  <c r="D4367" i="1"/>
  <c r="D4368" i="1"/>
  <c r="D4369" i="1"/>
  <c r="D4370" i="1"/>
  <c r="D4371" i="1"/>
  <c r="D4372" i="1"/>
  <c r="D4374" i="1"/>
  <c r="D4375" i="1"/>
  <c r="D4376" i="1"/>
  <c r="D4377" i="1"/>
  <c r="D4379" i="1"/>
  <c r="D4380" i="1"/>
  <c r="D4381" i="1"/>
  <c r="D4382" i="1"/>
  <c r="D4383" i="1"/>
  <c r="D4384" i="1"/>
  <c r="D4385" i="1"/>
  <c r="D4387" i="1"/>
  <c r="D4388" i="1"/>
  <c r="D4390" i="1"/>
  <c r="D4392" i="1"/>
  <c r="D4393" i="1"/>
  <c r="D4394" i="1"/>
  <c r="D4395" i="1"/>
  <c r="D4397" i="1"/>
  <c r="D4398" i="1"/>
  <c r="D4399" i="1"/>
  <c r="D4400" i="1"/>
  <c r="D4401" i="1"/>
  <c r="D4402" i="1"/>
  <c r="D4404" i="1"/>
  <c r="D4405" i="1"/>
  <c r="D4406" i="1"/>
  <c r="D4407" i="1"/>
  <c r="D4408" i="1"/>
  <c r="D4409" i="1"/>
  <c r="D4410" i="1"/>
  <c r="D4411" i="1"/>
  <c r="D4412" i="1"/>
  <c r="D4413" i="1"/>
  <c r="D4414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43" i="1"/>
  <c r="D4445" i="1"/>
  <c r="D4446" i="1"/>
  <c r="D4447" i="1"/>
  <c r="D4448" i="1"/>
  <c r="D4449" i="1"/>
  <c r="D4450" i="1"/>
  <c r="D4451" i="1"/>
  <c r="D4454" i="1"/>
  <c r="D4457" i="1"/>
  <c r="D4459" i="1"/>
  <c r="D4461" i="1"/>
  <c r="D4462" i="1"/>
  <c r="D4463" i="1"/>
  <c r="D4465" i="1"/>
  <c r="D4469" i="1"/>
  <c r="D4470" i="1"/>
  <c r="D4471" i="1"/>
  <c r="D4472" i="1"/>
  <c r="D4475" i="1"/>
  <c r="D4476" i="1"/>
  <c r="D4478" i="1"/>
  <c r="D4480" i="1"/>
  <c r="D4482" i="1"/>
  <c r="D4483" i="1"/>
  <c r="D4484" i="1"/>
  <c r="D4485" i="1"/>
  <c r="D4487" i="1"/>
  <c r="D4488" i="1"/>
  <c r="D4489" i="1"/>
  <c r="D4490" i="1"/>
  <c r="D4491" i="1"/>
  <c r="D4492" i="1"/>
  <c r="D4495" i="1"/>
  <c r="D4496" i="1"/>
  <c r="D4500" i="1"/>
  <c r="D4501" i="1"/>
  <c r="D4506" i="1"/>
  <c r="D4507" i="1"/>
  <c r="D4508" i="1"/>
  <c r="D4509" i="1"/>
  <c r="D4511" i="1"/>
  <c r="D4513" i="1"/>
  <c r="D4514" i="1"/>
  <c r="D4517" i="1"/>
  <c r="D4522" i="1"/>
  <c r="D4524" i="1"/>
  <c r="D4530" i="1"/>
  <c r="D4535" i="1"/>
  <c r="D4538" i="1"/>
  <c r="D4539" i="1"/>
  <c r="D4542" i="1"/>
  <c r="D4545" i="1"/>
  <c r="D4549" i="1"/>
  <c r="D4552" i="1"/>
  <c r="D4553" i="1"/>
  <c r="D4554" i="1"/>
  <c r="D4558" i="1"/>
  <c r="D4561" i="1"/>
  <c r="D4563" i="1"/>
  <c r="D4565" i="1"/>
  <c r="D4567" i="1"/>
  <c r="D4569" i="1"/>
  <c r="D4572" i="1"/>
  <c r="D4575" i="1"/>
  <c r="D4577" i="1"/>
  <c r="D4582" i="1"/>
  <c r="D4585" i="1"/>
  <c r="D4589" i="1"/>
  <c r="D4591" i="1"/>
  <c r="D4592" i="1"/>
  <c r="D4593" i="1"/>
  <c r="D4594" i="1"/>
  <c r="D4595" i="1"/>
  <c r="D4597" i="1"/>
  <c r="D4598" i="1"/>
  <c r="D4599" i="1"/>
  <c r="D4600" i="1"/>
  <c r="D4602" i="1"/>
  <c r="D4604" i="1"/>
  <c r="D4605" i="1"/>
  <c r="D4606" i="1"/>
  <c r="D4609" i="1"/>
  <c r="D4615" i="1"/>
  <c r="D4616" i="1"/>
  <c r="D4617" i="1"/>
  <c r="D4618" i="1"/>
  <c r="D4619" i="1"/>
  <c r="D4625" i="1"/>
  <c r="D4626" i="1"/>
  <c r="D4627" i="1"/>
  <c r="D4629" i="1"/>
  <c r="D4631" i="1"/>
  <c r="D4632" i="1"/>
  <c r="D4633" i="1"/>
  <c r="D4634" i="1"/>
  <c r="D4640" i="1"/>
  <c r="D4641" i="1"/>
  <c r="D4643" i="1"/>
  <c r="D4645" i="1"/>
  <c r="D4648" i="1"/>
  <c r="D4650" i="1"/>
  <c r="D4651" i="1"/>
  <c r="D4653" i="1"/>
  <c r="D4655" i="1"/>
  <c r="D4657" i="1"/>
  <c r="D4658" i="1"/>
  <c r="D4659" i="1"/>
  <c r="D4661" i="1"/>
  <c r="D4666" i="1"/>
  <c r="D4670" i="1"/>
  <c r="D4671" i="1"/>
  <c r="D4673" i="1"/>
  <c r="D4674" i="1"/>
  <c r="D4676" i="1"/>
  <c r="D4678" i="1"/>
  <c r="D4681" i="1"/>
  <c r="D4682" i="1"/>
  <c r="D4685" i="1"/>
  <c r="D4686" i="1"/>
  <c r="D4687" i="1"/>
  <c r="D4688" i="1"/>
  <c r="D4690" i="1"/>
  <c r="D4691" i="1"/>
  <c r="D4692" i="1"/>
  <c r="D4700" i="1"/>
  <c r="D4705" i="1"/>
  <c r="D4712" i="1"/>
  <c r="D4716" i="1"/>
  <c r="D4728" i="1"/>
  <c r="D4730" i="1"/>
  <c r="D4731" i="1"/>
  <c r="D4733" i="1"/>
  <c r="D4734" i="1"/>
  <c r="D4735" i="1"/>
  <c r="D4736" i="1"/>
  <c r="D4737" i="1"/>
  <c r="D4738" i="1"/>
  <c r="D4739" i="1"/>
  <c r="D4743" i="1"/>
  <c r="D4744" i="1"/>
  <c r="D4750" i="1"/>
  <c r="D4751" i="1"/>
  <c r="D4754" i="1"/>
  <c r="D4755" i="1"/>
  <c r="D4757" i="1"/>
  <c r="D4758" i="1"/>
  <c r="D4759" i="1"/>
  <c r="D4760" i="1"/>
  <c r="D4761" i="1"/>
  <c r="D4764" i="1"/>
  <c r="D4768" i="1"/>
  <c r="D4772" i="1"/>
  <c r="D4773" i="1"/>
  <c r="D4775" i="1"/>
  <c r="D4777" i="1"/>
  <c r="D4780" i="1"/>
  <c r="D4781" i="1"/>
  <c r="D4782" i="1"/>
  <c r="D4784" i="1"/>
  <c r="D4785" i="1"/>
  <c r="D4786" i="1"/>
  <c r="D4788" i="1"/>
  <c r="D4789" i="1"/>
  <c r="D4790" i="1"/>
  <c r="D4791" i="1"/>
  <c r="D4793" i="1"/>
  <c r="D4794" i="1"/>
  <c r="D4795" i="1"/>
  <c r="D4796" i="1"/>
  <c r="D4798" i="1"/>
  <c r="D4799" i="1"/>
  <c r="D4800" i="1"/>
  <c r="D4801" i="1"/>
  <c r="D4802" i="1"/>
  <c r="D4803" i="1"/>
  <c r="D4805" i="1"/>
  <c r="D4806" i="1"/>
  <c r="D4809" i="1"/>
  <c r="D4810" i="1"/>
  <c r="D4812" i="1"/>
  <c r="D4815" i="1"/>
  <c r="D4816" i="1"/>
  <c r="D4817" i="1"/>
  <c r="D4819" i="1"/>
  <c r="D4821" i="1"/>
  <c r="D4822" i="1"/>
  <c r="D4823" i="1"/>
  <c r="D4824" i="1"/>
  <c r="D4825" i="1"/>
  <c r="D4826" i="1"/>
  <c r="D4827" i="1"/>
  <c r="D4831" i="1"/>
  <c r="D4835" i="1"/>
  <c r="D4840" i="1"/>
  <c r="D4841" i="1"/>
  <c r="D4842" i="1"/>
  <c r="D4843" i="1"/>
  <c r="D4844" i="1"/>
  <c r="D4845" i="1"/>
  <c r="D4846" i="1"/>
  <c r="D4847" i="1"/>
  <c r="D4848" i="1"/>
  <c r="D4849" i="1"/>
  <c r="D4863" i="1"/>
  <c r="D4878" i="1"/>
  <c r="D4879" i="1"/>
  <c r="D4882" i="1"/>
  <c r="D4885" i="1"/>
  <c r="D4887" i="1"/>
  <c r="D4892" i="1"/>
  <c r="D4894" i="1"/>
  <c r="D4900" i="1"/>
  <c r="D4901" i="1"/>
  <c r="D4902" i="1"/>
  <c r="D4903" i="1"/>
  <c r="D4906" i="1"/>
  <c r="D4907" i="1"/>
  <c r="D4908" i="1"/>
  <c r="D4909" i="1"/>
  <c r="D4927" i="1"/>
  <c r="D4929" i="1"/>
  <c r="D4931" i="1"/>
  <c r="D4932" i="1"/>
  <c r="D4935" i="1"/>
  <c r="D4936" i="1"/>
  <c r="D4940" i="1"/>
  <c r="D4943" i="1"/>
  <c r="D4945" i="1"/>
  <c r="D4948" i="1"/>
  <c r="D4949" i="1"/>
  <c r="D4950" i="1"/>
  <c r="D4960" i="1"/>
  <c r="D4961" i="1"/>
  <c r="D4962" i="1"/>
  <c r="D4965" i="1"/>
  <c r="D4966" i="1"/>
  <c r="D4967" i="1"/>
  <c r="D4968" i="1"/>
  <c r="D4969" i="1"/>
  <c r="D4971" i="1"/>
  <c r="D4977" i="1"/>
  <c r="D4978" i="1"/>
  <c r="D4987" i="1"/>
  <c r="D4988" i="1"/>
  <c r="D5012" i="1"/>
  <c r="D5013" i="1"/>
  <c r="D5015" i="1"/>
  <c r="D5016" i="1"/>
  <c r="D5017" i="1"/>
  <c r="D5022" i="1"/>
  <c r="D5026" i="1"/>
  <c r="D5027" i="1"/>
  <c r="D5029" i="1"/>
  <c r="D5032" i="1"/>
  <c r="D5036" i="1"/>
  <c r="D5037" i="1"/>
  <c r="D5038" i="1"/>
  <c r="D5039" i="1"/>
  <c r="D5040" i="1"/>
  <c r="D5041" i="1"/>
  <c r="D5045" i="1"/>
  <c r="D5047" i="1"/>
  <c r="D5048" i="1"/>
  <c r="D5050" i="1"/>
  <c r="D5051" i="1"/>
  <c r="D5052" i="1"/>
  <c r="D5053" i="1"/>
  <c r="D5055" i="1"/>
  <c r="D5056" i="1"/>
  <c r="D5057" i="1"/>
  <c r="D5058" i="1"/>
  <c r="D5059" i="1"/>
  <c r="D5061" i="1"/>
  <c r="D5062" i="1"/>
  <c r="D5065" i="1"/>
  <c r="D5066" i="1"/>
  <c r="D5069" i="1"/>
  <c r="D5070" i="1"/>
  <c r="D5071" i="1"/>
  <c r="D5072" i="1"/>
  <c r="D5073" i="1"/>
  <c r="D5074" i="1"/>
  <c r="D5076" i="1"/>
  <c r="D5079" i="1"/>
  <c r="D5080" i="1"/>
  <c r="D5081" i="1"/>
  <c r="D5084" i="1"/>
  <c r="D5086" i="1"/>
  <c r="D5087" i="1"/>
  <c r="D5090" i="1"/>
  <c r="D5091" i="1"/>
  <c r="D5093" i="1"/>
  <c r="D5094" i="1"/>
  <c r="D5095" i="1"/>
  <c r="D5097" i="1"/>
  <c r="D5098" i="1"/>
  <c r="D5099" i="1"/>
  <c r="D5100" i="1"/>
  <c r="D5105" i="1"/>
  <c r="D5106" i="1"/>
  <c r="D5113" i="1"/>
  <c r="D5114" i="1"/>
  <c r="D5115" i="1"/>
  <c r="D5116" i="1"/>
  <c r="D5117" i="1"/>
  <c r="D5119" i="1"/>
  <c r="D5120" i="1"/>
  <c r="D5121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40" i="1"/>
  <c r="D5142" i="1"/>
  <c r="D5144" i="1"/>
  <c r="D5145" i="1"/>
  <c r="D5147" i="1"/>
  <c r="D5153" i="1"/>
  <c r="D5155" i="1"/>
  <c r="D5160" i="1"/>
  <c r="D5163" i="1"/>
  <c r="D5166" i="1"/>
  <c r="D5172" i="1"/>
  <c r="D5173" i="1"/>
  <c r="D5174" i="1"/>
  <c r="D5175" i="1"/>
  <c r="D5176" i="1"/>
  <c r="D5177" i="1"/>
  <c r="D5178" i="1"/>
  <c r="D5179" i="1"/>
  <c r="D5181" i="1"/>
  <c r="D5182" i="1"/>
  <c r="D5183" i="1"/>
  <c r="D5184" i="1"/>
  <c r="D5186" i="1"/>
  <c r="D5190" i="1"/>
  <c r="D5192" i="1"/>
  <c r="D5201" i="1"/>
  <c r="D5202" i="1"/>
  <c r="D5213" i="1"/>
  <c r="D5214" i="1"/>
  <c r="D5215" i="1"/>
  <c r="D5216" i="1"/>
  <c r="D5219" i="1"/>
  <c r="D5220" i="1"/>
  <c r="D5221" i="1"/>
  <c r="D5222" i="1"/>
  <c r="D5225" i="1"/>
  <c r="D5226" i="1"/>
  <c r="D5227" i="1"/>
  <c r="D5231" i="1"/>
  <c r="D5232" i="1"/>
  <c r="D5233" i="1"/>
  <c r="D5236" i="1"/>
  <c r="D5237" i="1"/>
  <c r="D5238" i="1"/>
  <c r="D5239" i="1"/>
  <c r="D5240" i="1"/>
  <c r="D5241" i="1"/>
  <c r="D5242" i="1"/>
  <c r="D5247" i="1"/>
  <c r="D5248" i="1"/>
  <c r="D5250" i="1"/>
  <c r="D5251" i="1"/>
  <c r="D5254" i="1"/>
  <c r="D5255" i="1"/>
  <c r="D5256" i="1"/>
  <c r="D5260" i="1"/>
  <c r="D5261" i="1"/>
  <c r="D5262" i="1"/>
  <c r="D5264" i="1"/>
  <c r="D5270" i="1"/>
  <c r="D5271" i="1"/>
  <c r="D5272" i="1"/>
  <c r="D5273" i="1"/>
  <c r="D5280" i="1"/>
  <c r="D5281" i="1"/>
  <c r="D5282" i="1"/>
  <c r="D5283" i="1"/>
  <c r="D5284" i="1"/>
  <c r="D5285" i="1"/>
  <c r="D5286" i="1"/>
  <c r="D5289" i="1"/>
  <c r="D5290" i="1"/>
  <c r="D5293" i="1"/>
  <c r="D5294" i="1"/>
  <c r="D5295" i="1"/>
  <c r="D5296" i="1"/>
  <c r="D5305" i="1"/>
  <c r="D5309" i="1"/>
  <c r="D5310" i="1"/>
  <c r="D5311" i="1"/>
  <c r="D5313" i="1"/>
  <c r="D5315" i="1"/>
  <c r="D5316" i="1"/>
  <c r="D5317" i="1"/>
  <c r="D5318" i="1"/>
  <c r="D5321" i="1"/>
  <c r="D5322" i="1"/>
  <c r="D5323" i="1"/>
  <c r="D5324" i="1"/>
  <c r="D5325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4" i="1"/>
  <c r="D5365" i="1"/>
  <c r="D5366" i="1"/>
  <c r="D5367" i="1"/>
  <c r="D5368" i="1"/>
  <c r="D5369" i="1"/>
  <c r="D5370" i="1"/>
  <c r="D5372" i="1"/>
  <c r="D5373" i="1"/>
  <c r="D5375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7" i="1"/>
  <c r="D5408" i="1"/>
  <c r="D5410" i="1"/>
  <c r="D5411" i="1"/>
  <c r="D5412" i="1"/>
  <c r="D5413" i="1"/>
  <c r="D5414" i="1"/>
  <c r="D5416" i="1"/>
  <c r="D5417" i="1"/>
  <c r="D5418" i="1"/>
  <c r="D5419" i="1"/>
  <c r="D5420" i="1"/>
  <c r="D5422" i="1"/>
  <c r="D5423" i="1"/>
  <c r="D5424" i="1"/>
  <c r="D5425" i="1"/>
  <c r="D5426" i="1"/>
  <c r="D5427" i="1"/>
  <c r="D5428" i="1"/>
  <c r="D5429" i="1"/>
  <c r="D5430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50" i="1"/>
  <c r="D5451" i="1"/>
  <c r="D5460" i="1"/>
  <c r="D5462" i="1"/>
  <c r="D5463" i="1"/>
  <c r="D5464" i="1"/>
  <c r="D5465" i="1"/>
  <c r="D5470" i="1"/>
  <c r="D5471" i="1"/>
  <c r="D5476" i="1"/>
  <c r="D5477" i="1"/>
  <c r="D5478" i="1"/>
  <c r="D5479" i="1"/>
  <c r="D5481" i="1"/>
  <c r="D5482" i="1"/>
  <c r="D5483" i="1"/>
  <c r="D5484" i="1"/>
  <c r="D5485" i="1"/>
  <c r="D5486" i="1"/>
  <c r="D5487" i="1"/>
  <c r="D5488" i="1"/>
  <c r="D5489" i="1"/>
</calcChain>
</file>

<file path=xl/sharedStrings.xml><?xml version="1.0" encoding="utf-8"?>
<sst xmlns="http://schemas.openxmlformats.org/spreadsheetml/2006/main" count="7932" uniqueCount="5496">
  <si>
    <t>ID</t>
  </si>
  <si>
    <t>Lat</t>
  </si>
  <si>
    <t>Long</t>
  </si>
  <si>
    <t>L0</t>
  </si>
  <si>
    <t>L1</t>
  </si>
  <si>
    <t>default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</si>
  <si>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</si>
  <si>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</si>
  <si>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</si>
  <si>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</si>
  <si>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</si>
  <si>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</si>
  <si>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</si>
  <si>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</si>
  <si>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</si>
  <si>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</si>
  <si>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</si>
  <si>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</si>
  <si>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</si>
  <si>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</si>
  <si>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</si>
  <si>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</si>
  <si>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</si>
  <si>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</si>
  <si>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</si>
  <si>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</si>
  <si>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</si>
  <si>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</si>
  <si>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</si>
  <si>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</si>
  <si>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</si>
  <si>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</si>
  <si>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</si>
  <si>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</si>
  <si>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</si>
  <si>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</si>
  <si>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</si>
  <si>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</si>
  <si>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</si>
  <si>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</si>
  <si>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</si>
  <si>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</si>
  <si>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</si>
  <si>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</si>
  <si>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</si>
  <si>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</si>
  <si>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</si>
  <si>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</si>
  <si>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</si>
  <si>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</si>
  <si>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</si>
  <si>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</si>
  <si>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</si>
  <si>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</si>
  <si>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</si>
  <si>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</si>
  <si>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</si>
  <si>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</si>
  <si>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</si>
  <si>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</si>
  <si>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</si>
  <si>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</si>
  <si>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</si>
  <si>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</si>
  <si>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</si>
  <si>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</si>
  <si>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</si>
  <si>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</si>
  <si>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</si>
  <si>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</si>
  <si>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</si>
  <si>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</si>
  <si>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</si>
  <si>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</si>
  <si>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</si>
  <si>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</si>
  <si>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</si>
  <si>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</si>
  <si>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</si>
  <si>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</si>
  <si>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</si>
  <si>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</si>
  <si>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</si>
  <si>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</si>
  <si>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</si>
  <si>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</si>
  <si>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</si>
  <si>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</si>
  <si>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</si>
  <si>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</si>
  <si>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</si>
  <si>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</si>
  <si>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</si>
  <si>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</si>
  <si>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</si>
  <si>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</si>
  <si>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</si>
  <si>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</si>
  <si>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</si>
  <si>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</si>
  <si>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</si>
  <si>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</si>
  <si>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</si>
  <si>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</si>
  <si>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</si>
  <si>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</si>
  <si>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</si>
  <si>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</si>
  <si>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</si>
  <si>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</si>
  <si>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</si>
  <si>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</si>
  <si>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</si>
  <si>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</si>
  <si>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</si>
  <si>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</si>
  <si>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</si>
  <si>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</si>
  <si>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</si>
  <si>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</si>
  <si>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</si>
  <si>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</si>
  <si>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</si>
  <si>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</si>
  <si>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</si>
  <si>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</si>
  <si>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</si>
  <si>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</si>
  <si>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</si>
  <si>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</si>
  <si>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</si>
  <si>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</si>
  <si>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</si>
  <si>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</si>
  <si>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</si>
  <si>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</si>
  <si>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</si>
  <si>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</si>
  <si>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</si>
  <si>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</si>
  <si>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</si>
  <si>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</si>
  <si>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</si>
  <si>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</si>
  <si>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</si>
  <si>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</si>
  <si>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</si>
  <si>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</si>
  <si>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</si>
  <si>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</si>
  <si>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</si>
  <si>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</si>
  <si>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</si>
  <si>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</si>
  <si>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</si>
  <si>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</si>
  <si>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</si>
  <si>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</si>
  <si>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</si>
  <si>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</si>
  <si>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</si>
  <si>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</si>
  <si>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</si>
  <si>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</si>
  <si>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</si>
  <si>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</si>
  <si>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</si>
  <si>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</si>
  <si>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</si>
  <si>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</si>
  <si>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</si>
  <si>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</si>
  <si>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L169</t>
  </si>
  <si>
    <t>L170</t>
  </si>
  <si>
    <t>L171</t>
  </si>
  <si>
    <t>L172</t>
  </si>
  <si>
    <t>L173</t>
  </si>
  <si>
    <t>L174</t>
  </si>
  <si>
    <t>L175</t>
  </si>
  <si>
    <t>L176</t>
  </si>
  <si>
    <t>L177</t>
  </si>
  <si>
    <t>L178</t>
  </si>
  <si>
    <t>L179</t>
  </si>
  <si>
    <t>L180</t>
  </si>
  <si>
    <t>L181</t>
  </si>
  <si>
    <t>L182</t>
  </si>
  <si>
    <t>L183</t>
  </si>
  <si>
    <t>L184</t>
  </si>
  <si>
    <t>L185</t>
  </si>
  <si>
    <t>L186</t>
  </si>
  <si>
    <t>L187</t>
  </si>
  <si>
    <t>L188</t>
  </si>
  <si>
    <t>L189</t>
  </si>
  <si>
    <t>L190</t>
  </si>
  <si>
    <t>L191</t>
  </si>
  <si>
    <t>L192</t>
  </si>
  <si>
    <t>L193</t>
  </si>
  <si>
    <t>L194</t>
  </si>
  <si>
    <t>L195</t>
  </si>
  <si>
    <t>L196</t>
  </si>
  <si>
    <t>L197</t>
  </si>
  <si>
    <t>L198</t>
  </si>
  <si>
    <t>L199</t>
  </si>
  <si>
    <t>L200</t>
  </si>
  <si>
    <t>L201</t>
  </si>
  <si>
    <t>L202</t>
  </si>
  <si>
    <t>L203</t>
  </si>
  <si>
    <t>L204</t>
  </si>
  <si>
    <t>L205</t>
  </si>
  <si>
    <t>L206</t>
  </si>
  <si>
    <t>L207</t>
  </si>
  <si>
    <t>L208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</si>
  <si>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</si>
  <si>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</si>
  <si>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</si>
  <si>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</si>
  <si>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</si>
  <si>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</si>
  <si>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</si>
  <si>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</si>
  <si>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</si>
  <si>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</si>
  <si>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L219</t>
  </si>
  <si>
    <t>L220</t>
  </si>
  <si>
    <t>L221</t>
  </si>
  <si>
    <t>L222</t>
  </si>
  <si>
    <t>L223</t>
  </si>
  <si>
    <t>L224</t>
  </si>
  <si>
    <t>L225</t>
  </si>
  <si>
    <t>L226</t>
  </si>
  <si>
    <t>L227</t>
  </si>
  <si>
    <t>L228</t>
  </si>
  <si>
    <t>L229</t>
  </si>
  <si>
    <t>L230</t>
  </si>
  <si>
    <t>L231</t>
  </si>
  <si>
    <t>L232</t>
  </si>
  <si>
    <t>L233</t>
  </si>
  <si>
    <t>L234</t>
  </si>
  <si>
    <t>L235</t>
  </si>
  <si>
    <t>L236</t>
  </si>
  <si>
    <t>L237</t>
  </si>
  <si>
    <t>L238</t>
  </si>
  <si>
    <t>L239</t>
  </si>
  <si>
    <t>L240</t>
  </si>
  <si>
    <t>L241</t>
  </si>
  <si>
    <t>L242</t>
  </si>
  <si>
    <t>L243</t>
  </si>
  <si>
    <t>L244</t>
  </si>
  <si>
    <t>L245</t>
  </si>
  <si>
    <t>L246</t>
  </si>
  <si>
    <t>L247</t>
  </si>
  <si>
    <t>L248</t>
  </si>
  <si>
    <t>L249</t>
  </si>
  <si>
    <t>L250</t>
  </si>
  <si>
    <t>L251</t>
  </si>
  <si>
    <t>L252</t>
  </si>
  <si>
    <t>L253</t>
  </si>
  <si>
    <t>L254</t>
  </si>
  <si>
    <t>L255</t>
  </si>
  <si>
    <t>L256</t>
  </si>
  <si>
    <t>L257</t>
  </si>
  <si>
    <t>L258</t>
  </si>
  <si>
    <t>L259</t>
  </si>
  <si>
    <t>L260</t>
  </si>
  <si>
    <t>L261</t>
  </si>
  <si>
    <t>L262</t>
  </si>
  <si>
    <t>L263</t>
  </si>
  <si>
    <t>L264</t>
  </si>
  <si>
    <t>L265</t>
  </si>
  <si>
    <t>L266</t>
  </si>
  <si>
    <t>L267</t>
  </si>
  <si>
    <t>L268</t>
  </si>
  <si>
    <t>L269</t>
  </si>
  <si>
    <t>L270</t>
  </si>
  <si>
    <t>L271</t>
  </si>
  <si>
    <t>L272</t>
  </si>
  <si>
    <t>L273</t>
  </si>
  <si>
    <t>L274</t>
  </si>
  <si>
    <t>L275</t>
  </si>
  <si>
    <t>L276</t>
  </si>
  <si>
    <t>L277</t>
  </si>
  <si>
    <t>L278</t>
  </si>
  <si>
    <t>L279</t>
  </si>
  <si>
    <t>L280</t>
  </si>
  <si>
    <t>L281</t>
  </si>
  <si>
    <t>L282</t>
  </si>
  <si>
    <t>L283</t>
  </si>
  <si>
    <t>L284</t>
  </si>
  <si>
    <t>L285</t>
  </si>
  <si>
    <t>L286</t>
  </si>
  <si>
    <t>L287</t>
  </si>
  <si>
    <t>L288</t>
  </si>
  <si>
    <t>L289</t>
  </si>
  <si>
    <t>L290</t>
  </si>
  <si>
    <t>L291</t>
  </si>
  <si>
    <t>L292</t>
  </si>
  <si>
    <t>L293</t>
  </si>
  <si>
    <t>L294</t>
  </si>
  <si>
    <t>L295</t>
  </si>
  <si>
    <t>L296</t>
  </si>
  <si>
    <t>L297</t>
  </si>
  <si>
    <t>L298</t>
  </si>
  <si>
    <t>L299</t>
  </si>
  <si>
    <t>L300</t>
  </si>
  <si>
    <t>L301</t>
  </si>
  <si>
    <t>L302</t>
  </si>
  <si>
    <t>L303</t>
  </si>
  <si>
    <t>L304</t>
  </si>
  <si>
    <t>L305</t>
  </si>
  <si>
    <t>L306</t>
  </si>
  <si>
    <t>L307</t>
  </si>
  <si>
    <t>L308</t>
  </si>
  <si>
    <t>L309</t>
  </si>
  <si>
    <t>L310</t>
  </si>
  <si>
    <t>L311</t>
  </si>
  <si>
    <t>L312</t>
  </si>
  <si>
    <t>L313</t>
  </si>
  <si>
    <t>L314</t>
  </si>
  <si>
    <t>L315</t>
  </si>
  <si>
    <t>L316</t>
  </si>
  <si>
    <t>L317</t>
  </si>
  <si>
    <t>L318</t>
  </si>
  <si>
    <t>L319</t>
  </si>
  <si>
    <t>L320</t>
  </si>
  <si>
    <t>L321</t>
  </si>
  <si>
    <t>L322</t>
  </si>
  <si>
    <t>L323</t>
  </si>
  <si>
    <t>L324</t>
  </si>
  <si>
    <t>L325</t>
  </si>
  <si>
    <t>L326</t>
  </si>
  <si>
    <t>L327</t>
  </si>
  <si>
    <t>L328</t>
  </si>
  <si>
    <t>L329</t>
  </si>
  <si>
    <t>L330</t>
  </si>
  <si>
    <t>L331</t>
  </si>
  <si>
    <t>L332</t>
  </si>
  <si>
    <t>L333</t>
  </si>
  <si>
    <t>L334</t>
  </si>
  <si>
    <t>L335</t>
  </si>
  <si>
    <t>L336</t>
  </si>
  <si>
    <t>L337</t>
  </si>
  <si>
    <t>L338</t>
  </si>
  <si>
    <t>L339</t>
  </si>
  <si>
    <t>L340</t>
  </si>
  <si>
    <t>L341</t>
  </si>
  <si>
    <t>L342</t>
  </si>
  <si>
    <t>L343</t>
  </si>
  <si>
    <t>L344</t>
  </si>
  <si>
    <t>L345</t>
  </si>
  <si>
    <t>L346</t>
  </si>
  <si>
    <t>L347</t>
  </si>
  <si>
    <t>L348</t>
  </si>
  <si>
    <t>L349</t>
  </si>
  <si>
    <t>L350</t>
  </si>
  <si>
    <t>L351</t>
  </si>
  <si>
    <t>L352</t>
  </si>
  <si>
    <t>L353</t>
  </si>
  <si>
    <t>L354</t>
  </si>
  <si>
    <t>L355</t>
  </si>
  <si>
    <t>L356</t>
  </si>
  <si>
    <t>L357</t>
  </si>
  <si>
    <t>L358</t>
  </si>
  <si>
    <t>L359</t>
  </si>
  <si>
    <t>L360</t>
  </si>
  <si>
    <t>L361</t>
  </si>
  <si>
    <t>L362</t>
  </si>
  <si>
    <t>L363</t>
  </si>
  <si>
    <t>L364</t>
  </si>
  <si>
    <t>L365</t>
  </si>
  <si>
    <t>L366</t>
  </si>
  <si>
    <t>L367</t>
  </si>
  <si>
    <t>L368</t>
  </si>
  <si>
    <t>L369</t>
  </si>
  <si>
    <t>L370</t>
  </si>
  <si>
    <t>L371</t>
  </si>
  <si>
    <t>L372</t>
  </si>
  <si>
    <t>L373</t>
  </si>
  <si>
    <t>L374</t>
  </si>
  <si>
    <t>L375</t>
  </si>
  <si>
    <t>L376</t>
  </si>
  <si>
    <t>L377</t>
  </si>
  <si>
    <t>L378</t>
  </si>
  <si>
    <t>L379</t>
  </si>
  <si>
    <t>L380</t>
  </si>
  <si>
    <t>L381</t>
  </si>
  <si>
    <t>L382</t>
  </si>
  <si>
    <t>L383</t>
  </si>
  <si>
    <t>L384</t>
  </si>
  <si>
    <t>L385</t>
  </si>
  <si>
    <t>L386</t>
  </si>
  <si>
    <t>L387</t>
  </si>
  <si>
    <t>L388</t>
  </si>
  <si>
    <t>L389</t>
  </si>
  <si>
    <t>L390</t>
  </si>
  <si>
    <t>L391</t>
  </si>
  <si>
    <t>L392</t>
  </si>
  <si>
    <t>L393</t>
  </si>
  <si>
    <t>L394</t>
  </si>
  <si>
    <t>L395</t>
  </si>
  <si>
    <t>L396</t>
  </si>
  <si>
    <t>L397</t>
  </si>
  <si>
    <t>L398</t>
  </si>
  <si>
    <t>L399</t>
  </si>
  <si>
    <t>L400</t>
  </si>
  <si>
    <t>L401</t>
  </si>
  <si>
    <t>L402</t>
  </si>
  <si>
    <t>L403</t>
  </si>
  <si>
    <t>L404</t>
  </si>
  <si>
    <t>L405</t>
  </si>
  <si>
    <t>L406</t>
  </si>
  <si>
    <t>L407</t>
  </si>
  <si>
    <t>L408</t>
  </si>
  <si>
    <t>L409</t>
  </si>
  <si>
    <t>L410</t>
  </si>
  <si>
    <t>L411</t>
  </si>
  <si>
    <t>L412</t>
  </si>
  <si>
    <t>L413</t>
  </si>
  <si>
    <t>L414</t>
  </si>
  <si>
    <t>L415</t>
  </si>
  <si>
    <t>L416</t>
  </si>
  <si>
    <t>L417</t>
  </si>
  <si>
    <t>L418</t>
  </si>
  <si>
    <t>L419</t>
  </si>
  <si>
    <t>L420</t>
  </si>
  <si>
    <t>L421</t>
  </si>
  <si>
    <t>L422</t>
  </si>
  <si>
    <t>L423</t>
  </si>
  <si>
    <t>L424</t>
  </si>
  <si>
    <t>L425</t>
  </si>
  <si>
    <t>L426</t>
  </si>
  <si>
    <t>L427</t>
  </si>
  <si>
    <t>L428</t>
  </si>
  <si>
    <t>L429</t>
  </si>
  <si>
    <t>L430</t>
  </si>
  <si>
    <t>L431</t>
  </si>
  <si>
    <t>L432</t>
  </si>
  <si>
    <t>L433</t>
  </si>
  <si>
    <t>L434</t>
  </si>
  <si>
    <t>L435</t>
  </si>
  <si>
    <t>L436</t>
  </si>
  <si>
    <t>L437</t>
  </si>
  <si>
    <t>L438</t>
  </si>
  <si>
    <t>L439</t>
  </si>
  <si>
    <t>L440</t>
  </si>
  <si>
    <t>L441</t>
  </si>
  <si>
    <t>L442</t>
  </si>
  <si>
    <t>L443</t>
  </si>
  <si>
    <t>L444</t>
  </si>
  <si>
    <t>L445</t>
  </si>
  <si>
    <t>L446</t>
  </si>
  <si>
    <t>L447</t>
  </si>
  <si>
    <t>L448</t>
  </si>
  <si>
    <t>L449</t>
  </si>
  <si>
    <t>L450</t>
  </si>
  <si>
    <t>L451</t>
  </si>
  <si>
    <t>L452</t>
  </si>
  <si>
    <t>L453</t>
  </si>
  <si>
    <t>L454</t>
  </si>
  <si>
    <t>L455</t>
  </si>
  <si>
    <t>L456</t>
  </si>
  <si>
    <t>L457</t>
  </si>
  <si>
    <t>L458</t>
  </si>
  <si>
    <t>L459</t>
  </si>
  <si>
    <t>L460</t>
  </si>
  <si>
    <t>L461</t>
  </si>
  <si>
    <t>L462</t>
  </si>
  <si>
    <t>L463</t>
  </si>
  <si>
    <t>L464</t>
  </si>
  <si>
    <t>L465</t>
  </si>
  <si>
    <t>L466</t>
  </si>
  <si>
    <t>L467</t>
  </si>
  <si>
    <t>L468</t>
  </si>
  <si>
    <t>L469</t>
  </si>
  <si>
    <t>L470</t>
  </si>
  <si>
    <t>L471</t>
  </si>
  <si>
    <t>L472</t>
  </si>
  <si>
    <t>L473</t>
  </si>
  <si>
    <t>L474</t>
  </si>
  <si>
    <t>L475</t>
  </si>
  <si>
    <t>L476</t>
  </si>
  <si>
    <t>L477</t>
  </si>
  <si>
    <t>L478</t>
  </si>
  <si>
    <t>L479</t>
  </si>
  <si>
    <t>L480</t>
  </si>
  <si>
    <t>L481</t>
  </si>
  <si>
    <t>L482</t>
  </si>
  <si>
    <t>L483</t>
  </si>
  <si>
    <t>L484</t>
  </si>
  <si>
    <t>L485</t>
  </si>
  <si>
    <t>L486</t>
  </si>
  <si>
    <t>L487</t>
  </si>
  <si>
    <t>L488</t>
  </si>
  <si>
    <t>L489</t>
  </si>
  <si>
    <t>L490</t>
  </si>
  <si>
    <t>L491</t>
  </si>
  <si>
    <t>L492</t>
  </si>
  <si>
    <t>L494</t>
  </si>
  <si>
    <t>L495</t>
  </si>
  <si>
    <t>L496</t>
  </si>
  <si>
    <t>L497</t>
  </si>
  <si>
    <t>L498</t>
  </si>
  <si>
    <t>L499</t>
  </si>
  <si>
    <t>L500</t>
  </si>
  <si>
    <t>L501</t>
  </si>
  <si>
    <t>L502</t>
  </si>
  <si>
    <t>L503</t>
  </si>
  <si>
    <t>L504</t>
  </si>
  <si>
    <t>L505</t>
  </si>
  <si>
    <t>L506</t>
  </si>
  <si>
    <t>L507</t>
  </si>
  <si>
    <t>L508</t>
  </si>
  <si>
    <t>L509</t>
  </si>
  <si>
    <t>L510</t>
  </si>
  <si>
    <t>L511</t>
  </si>
  <si>
    <t>L512</t>
  </si>
  <si>
    <t>L513</t>
  </si>
  <si>
    <t>L514</t>
  </si>
  <si>
    <t>L515</t>
  </si>
  <si>
    <t>L516</t>
  </si>
  <si>
    <t>L517</t>
  </si>
  <si>
    <t>L518</t>
  </si>
  <si>
    <t>L519</t>
  </si>
  <si>
    <t>L520</t>
  </si>
  <si>
    <t>L521</t>
  </si>
  <si>
    <t>L522</t>
  </si>
  <si>
    <t>L523</t>
  </si>
  <si>
    <t>L524</t>
  </si>
  <si>
    <t>L525</t>
  </si>
  <si>
    <t>L526</t>
  </si>
  <si>
    <t>L527</t>
  </si>
  <si>
    <t>L528</t>
  </si>
  <si>
    <t>L529</t>
  </si>
  <si>
    <t>L530</t>
  </si>
  <si>
    <t>L531</t>
  </si>
  <si>
    <t>L532</t>
  </si>
  <si>
    <t>L533</t>
  </si>
  <si>
    <t>L534</t>
  </si>
  <si>
    <t>L535</t>
  </si>
  <si>
    <t>L536</t>
  </si>
  <si>
    <t>L537</t>
  </si>
  <si>
    <t>L538</t>
  </si>
  <si>
    <t>L539</t>
  </si>
  <si>
    <t>L540</t>
  </si>
  <si>
    <t>L541</t>
  </si>
  <si>
    <t>L542</t>
  </si>
  <si>
    <t>L543</t>
  </si>
  <si>
    <t>L544</t>
  </si>
  <si>
    <t>L545</t>
  </si>
  <si>
    <t>L546</t>
  </si>
  <si>
    <t>L547</t>
  </si>
  <si>
    <t>L548</t>
  </si>
  <si>
    <t>L549</t>
  </si>
  <si>
    <t>L550</t>
  </si>
  <si>
    <t>L551</t>
  </si>
  <si>
    <t>L552</t>
  </si>
  <si>
    <t>L553</t>
  </si>
  <si>
    <t>L554</t>
  </si>
  <si>
    <t>L555</t>
  </si>
  <si>
    <t>L556</t>
  </si>
  <si>
    <t>L557</t>
  </si>
  <si>
    <t>L558</t>
  </si>
  <si>
    <t>L559</t>
  </si>
  <si>
    <t>L560</t>
  </si>
  <si>
    <t>L561</t>
  </si>
  <si>
    <t>L562</t>
  </si>
  <si>
    <t>L563</t>
  </si>
  <si>
    <t>L564</t>
  </si>
  <si>
    <t>L565</t>
  </si>
  <si>
    <t>L566</t>
  </si>
  <si>
    <t>L567</t>
  </si>
  <si>
    <t>L568</t>
  </si>
  <si>
    <t>L569</t>
  </si>
  <si>
    <t>L570</t>
  </si>
  <si>
    <t>L571</t>
  </si>
  <si>
    <t>L572</t>
  </si>
  <si>
    <t>L573</t>
  </si>
  <si>
    <t>L574</t>
  </si>
  <si>
    <t>L575</t>
  </si>
  <si>
    <t>L576</t>
  </si>
  <si>
    <t>L577</t>
  </si>
  <si>
    <t>L578</t>
  </si>
  <si>
    <t>L579</t>
  </si>
  <si>
    <t>L580</t>
  </si>
  <si>
    <t>L581</t>
  </si>
  <si>
    <t>L582</t>
  </si>
  <si>
    <t>L583</t>
  </si>
  <si>
    <t>L584</t>
  </si>
  <si>
    <t>L585</t>
  </si>
  <si>
    <t>L586</t>
  </si>
  <si>
    <t>L587</t>
  </si>
  <si>
    <t>L588</t>
  </si>
  <si>
    <t>L589</t>
  </si>
  <si>
    <t>L590</t>
  </si>
  <si>
    <t>L591</t>
  </si>
  <si>
    <t>L592</t>
  </si>
  <si>
    <t>L593</t>
  </si>
  <si>
    <t>L594</t>
  </si>
  <si>
    <t>L595</t>
  </si>
  <si>
    <t>L596</t>
  </si>
  <si>
    <t>L597</t>
  </si>
  <si>
    <t>L598</t>
  </si>
  <si>
    <t>L599</t>
  </si>
  <si>
    <t>L600</t>
  </si>
  <si>
    <t>L601</t>
  </si>
  <si>
    <t>L602</t>
  </si>
  <si>
    <t>L603</t>
  </si>
  <si>
    <t>L604</t>
  </si>
  <si>
    <t>L605</t>
  </si>
  <si>
    <t>L606</t>
  </si>
  <si>
    <t>L607</t>
  </si>
  <si>
    <t>L608</t>
  </si>
  <si>
    <t>L609</t>
  </si>
  <si>
    <t>L610</t>
  </si>
  <si>
    <t>L611</t>
  </si>
  <si>
    <t>L612</t>
  </si>
  <si>
    <t>L613</t>
  </si>
  <si>
    <t>L614</t>
  </si>
  <si>
    <t>L615</t>
  </si>
  <si>
    <t>L616</t>
  </si>
  <si>
    <t>L617</t>
  </si>
  <si>
    <t>L618</t>
  </si>
  <si>
    <t>L619</t>
  </si>
  <si>
    <t>L620</t>
  </si>
  <si>
    <t>L621</t>
  </si>
  <si>
    <t>L622</t>
  </si>
  <si>
    <t>L623</t>
  </si>
  <si>
    <t>L624</t>
  </si>
  <si>
    <t>L625</t>
  </si>
  <si>
    <t>L626</t>
  </si>
  <si>
    <t>L627</t>
  </si>
  <si>
    <t>L628</t>
  </si>
  <si>
    <t>L629</t>
  </si>
  <si>
    <t>L630</t>
  </si>
  <si>
    <t>L631</t>
  </si>
  <si>
    <t>L632</t>
  </si>
  <si>
    <t>L633</t>
  </si>
  <si>
    <t>L634</t>
  </si>
  <si>
    <t>L635</t>
  </si>
  <si>
    <t>L636</t>
  </si>
  <si>
    <t>L637</t>
  </si>
  <si>
    <t>L638</t>
  </si>
  <si>
    <t>L639</t>
  </si>
  <si>
    <t>L640</t>
  </si>
  <si>
    <t>L641</t>
  </si>
  <si>
    <t>L642</t>
  </si>
  <si>
    <t>L643</t>
  </si>
  <si>
    <t>L644</t>
  </si>
  <si>
    <t>L645</t>
  </si>
  <si>
    <t>L646</t>
  </si>
  <si>
    <t>L647</t>
  </si>
  <si>
    <t>L648</t>
  </si>
  <si>
    <t>L649</t>
  </si>
  <si>
    <t>L650</t>
  </si>
  <si>
    <t>L651</t>
  </si>
  <si>
    <t>L652</t>
  </si>
  <si>
    <t>L653</t>
  </si>
  <si>
    <t>L654</t>
  </si>
  <si>
    <t>L655</t>
  </si>
  <si>
    <t>L656</t>
  </si>
  <si>
    <t>L657</t>
  </si>
  <si>
    <t>L658</t>
  </si>
  <si>
    <t>L659</t>
  </si>
  <si>
    <t>L660</t>
  </si>
  <si>
    <t>L661</t>
  </si>
  <si>
    <t>L662</t>
  </si>
  <si>
    <t>L663</t>
  </si>
  <si>
    <t>L664</t>
  </si>
  <si>
    <t>L665</t>
  </si>
  <si>
    <t>L666</t>
  </si>
  <si>
    <t>L667</t>
  </si>
  <si>
    <t>L668</t>
  </si>
  <si>
    <t>L669</t>
  </si>
  <si>
    <t>L670</t>
  </si>
  <si>
    <t>L671</t>
  </si>
  <si>
    <t>L672</t>
  </si>
  <si>
    <t>L673</t>
  </si>
  <si>
    <t>L674</t>
  </si>
  <si>
    <t>L675</t>
  </si>
  <si>
    <t>L676</t>
  </si>
  <si>
    <t>L677</t>
  </si>
  <si>
    <t>L678</t>
  </si>
  <si>
    <t>L679</t>
  </si>
  <si>
    <t>L680</t>
  </si>
  <si>
    <t>L681</t>
  </si>
  <si>
    <t>L682</t>
  </si>
  <si>
    <t>L683</t>
  </si>
  <si>
    <t>L684</t>
  </si>
  <si>
    <t>L685</t>
  </si>
  <si>
    <t>L686</t>
  </si>
  <si>
    <t>L687</t>
  </si>
  <si>
    <t>L688</t>
  </si>
  <si>
    <t>L689</t>
  </si>
  <si>
    <t>L690</t>
  </si>
  <si>
    <t>L691</t>
  </si>
  <si>
    <t>L692</t>
  </si>
  <si>
    <t>L693</t>
  </si>
  <si>
    <t>L694</t>
  </si>
  <si>
    <t>L695</t>
  </si>
  <si>
    <t>L696</t>
  </si>
  <si>
    <t>L697</t>
  </si>
  <si>
    <t>L698</t>
  </si>
  <si>
    <t>L699</t>
  </si>
  <si>
    <t>L700</t>
  </si>
  <si>
    <t>L701</t>
  </si>
  <si>
    <t>L702</t>
  </si>
  <si>
    <t>L703</t>
  </si>
  <si>
    <t>L704</t>
  </si>
  <si>
    <t>L705</t>
  </si>
  <si>
    <t>L706</t>
  </si>
  <si>
    <t>L707</t>
  </si>
  <si>
    <t>L708</t>
  </si>
  <si>
    <t>L709</t>
  </si>
  <si>
    <t>L710</t>
  </si>
  <si>
    <t>L711</t>
  </si>
  <si>
    <t>L712</t>
  </si>
  <si>
    <t>L713</t>
  </si>
  <si>
    <t>L714</t>
  </si>
  <si>
    <t>L715</t>
  </si>
  <si>
    <t>L716</t>
  </si>
  <si>
    <t>L717</t>
  </si>
  <si>
    <t>L718</t>
  </si>
  <si>
    <t>L719</t>
  </si>
  <si>
    <t>L720</t>
  </si>
  <si>
    <t>L721</t>
  </si>
  <si>
    <t>L722</t>
  </si>
  <si>
    <t>L723</t>
  </si>
  <si>
    <t>L724</t>
  </si>
  <si>
    <t>L725</t>
  </si>
  <si>
    <t>L726</t>
  </si>
  <si>
    <t>L727</t>
  </si>
  <si>
    <t>L728</t>
  </si>
  <si>
    <t>L729</t>
  </si>
  <si>
    <t>L730</t>
  </si>
  <si>
    <t>L731</t>
  </si>
  <si>
    <t>L732</t>
  </si>
  <si>
    <t>L733</t>
  </si>
  <si>
    <t>L734</t>
  </si>
  <si>
    <t>L735</t>
  </si>
  <si>
    <t>L736</t>
  </si>
  <si>
    <t>L737</t>
  </si>
  <si>
    <t>L738</t>
  </si>
  <si>
    <t>L739</t>
  </si>
  <si>
    <t>L740</t>
  </si>
  <si>
    <t>L741</t>
  </si>
  <si>
    <t>L742</t>
  </si>
  <si>
    <t>L743</t>
  </si>
  <si>
    <t>L744</t>
  </si>
  <si>
    <t>L745</t>
  </si>
  <si>
    <t>L746</t>
  </si>
  <si>
    <t>L747</t>
  </si>
  <si>
    <t>L748</t>
  </si>
  <si>
    <t>L749</t>
  </si>
  <si>
    <t>L750</t>
  </si>
  <si>
    <t>L751</t>
  </si>
  <si>
    <t>L752</t>
  </si>
  <si>
    <t>L753</t>
  </si>
  <si>
    <t>L754</t>
  </si>
  <si>
    <t>L755</t>
  </si>
  <si>
    <t>L756</t>
  </si>
  <si>
    <t>L757</t>
  </si>
  <si>
    <t>L758</t>
  </si>
  <si>
    <t>L759</t>
  </si>
  <si>
    <t>L760</t>
  </si>
  <si>
    <t>L761</t>
  </si>
  <si>
    <t>L762</t>
  </si>
  <si>
    <t>L763</t>
  </si>
  <si>
    <t>L764</t>
  </si>
  <si>
    <t>L765</t>
  </si>
  <si>
    <t>L766</t>
  </si>
  <si>
    <t>L767</t>
  </si>
  <si>
    <t>L768</t>
  </si>
  <si>
    <t>L769</t>
  </si>
  <si>
    <t>L770</t>
  </si>
  <si>
    <t>L771</t>
  </si>
  <si>
    <t>L772</t>
  </si>
  <si>
    <t>L773</t>
  </si>
  <si>
    <t>L774</t>
  </si>
  <si>
    <t>L775</t>
  </si>
  <si>
    <t>L776</t>
  </si>
  <si>
    <t>L777</t>
  </si>
  <si>
    <t>L778</t>
  </si>
  <si>
    <t>L779</t>
  </si>
  <si>
    <t>L780</t>
  </si>
  <si>
    <t>L781</t>
  </si>
  <si>
    <t>L782</t>
  </si>
  <si>
    <t>L783</t>
  </si>
  <si>
    <t>L784</t>
  </si>
  <si>
    <t>L785</t>
  </si>
  <si>
    <t>L786</t>
  </si>
  <si>
    <t>L787</t>
  </si>
  <si>
    <t>L788</t>
  </si>
  <si>
    <t>L789</t>
  </si>
  <si>
    <t>L790</t>
  </si>
  <si>
    <t>L791</t>
  </si>
  <si>
    <t>L792</t>
  </si>
  <si>
    <t>L793</t>
  </si>
  <si>
    <t>L794</t>
  </si>
  <si>
    <t>L795</t>
  </si>
  <si>
    <t>L796</t>
  </si>
  <si>
    <t>L797</t>
  </si>
  <si>
    <t>L798</t>
  </si>
  <si>
    <t>L799</t>
  </si>
  <si>
    <t>L800</t>
  </si>
  <si>
    <t>L801</t>
  </si>
  <si>
    <t>L802</t>
  </si>
  <si>
    <t>L803</t>
  </si>
  <si>
    <t>L804</t>
  </si>
  <si>
    <t>L805</t>
  </si>
  <si>
    <t>L806</t>
  </si>
  <si>
    <t>L807</t>
  </si>
  <si>
    <t>L808</t>
  </si>
  <si>
    <t>L809</t>
  </si>
  <si>
    <t>L810</t>
  </si>
  <si>
    <t>L811</t>
  </si>
  <si>
    <t>L812</t>
  </si>
  <si>
    <t>L813</t>
  </si>
  <si>
    <t>L814</t>
  </si>
  <si>
    <t>L815</t>
  </si>
  <si>
    <t>L816</t>
  </si>
  <si>
    <t>L817</t>
  </si>
  <si>
    <t>L818</t>
  </si>
  <si>
    <t>L819</t>
  </si>
  <si>
    <t>L820</t>
  </si>
  <si>
    <t>L821</t>
  </si>
  <si>
    <t>L822</t>
  </si>
  <si>
    <t>L823</t>
  </si>
  <si>
    <t>L824</t>
  </si>
  <si>
    <t>L825</t>
  </si>
  <si>
    <t>L826</t>
  </si>
  <si>
    <t>L827</t>
  </si>
  <si>
    <t>L828</t>
  </si>
  <si>
    <t>L829</t>
  </si>
  <si>
    <t>L830</t>
  </si>
  <si>
    <t>L831</t>
  </si>
  <si>
    <t>L832</t>
  </si>
  <si>
    <t>L833</t>
  </si>
  <si>
    <t>L834</t>
  </si>
  <si>
    <t>L835</t>
  </si>
  <si>
    <t>L836</t>
  </si>
  <si>
    <t>L837</t>
  </si>
  <si>
    <t>L838</t>
  </si>
  <si>
    <t>L839</t>
  </si>
  <si>
    <t>L840</t>
  </si>
  <si>
    <t>L841</t>
  </si>
  <si>
    <t>L842</t>
  </si>
  <si>
    <t>L843</t>
  </si>
  <si>
    <t>L844</t>
  </si>
  <si>
    <t>L845</t>
  </si>
  <si>
    <t>L846</t>
  </si>
  <si>
    <t>L847</t>
  </si>
  <si>
    <t>L848</t>
  </si>
  <si>
    <t>L849</t>
  </si>
  <si>
    <t>L850</t>
  </si>
  <si>
    <t>L851</t>
  </si>
  <si>
    <t>L852</t>
  </si>
  <si>
    <t>L853</t>
  </si>
  <si>
    <t>L854</t>
  </si>
  <si>
    <t>L855</t>
  </si>
  <si>
    <t>L856</t>
  </si>
  <si>
    <t>L857</t>
  </si>
  <si>
    <t>L858</t>
  </si>
  <si>
    <t>L859</t>
  </si>
  <si>
    <t>L860</t>
  </si>
  <si>
    <t>L861</t>
  </si>
  <si>
    <t>L862</t>
  </si>
  <si>
    <t>L863</t>
  </si>
  <si>
    <t>L864</t>
  </si>
  <si>
    <t>L865</t>
  </si>
  <si>
    <t>L866</t>
  </si>
  <si>
    <t>L867</t>
  </si>
  <si>
    <t>L868</t>
  </si>
  <si>
    <t>L869</t>
  </si>
  <si>
    <t>L870</t>
  </si>
  <si>
    <t>L871</t>
  </si>
  <si>
    <t>L872</t>
  </si>
  <si>
    <t>L873</t>
  </si>
  <si>
    <t>L874</t>
  </si>
  <si>
    <t>L875</t>
  </si>
  <si>
    <t>L876</t>
  </si>
  <si>
    <t>L877</t>
  </si>
  <si>
    <t>L878</t>
  </si>
  <si>
    <t>L879</t>
  </si>
  <si>
    <t>L880</t>
  </si>
  <si>
    <t>L881</t>
  </si>
  <si>
    <t>L882</t>
  </si>
  <si>
    <t>L883</t>
  </si>
  <si>
    <t>L884</t>
  </si>
  <si>
    <t>L885</t>
  </si>
  <si>
    <t>L886</t>
  </si>
  <si>
    <t>L887</t>
  </si>
  <si>
    <t>L888</t>
  </si>
  <si>
    <t>L889</t>
  </si>
  <si>
    <t>L890</t>
  </si>
  <si>
    <t>L891</t>
  </si>
  <si>
    <t>L892</t>
  </si>
  <si>
    <t>L893</t>
  </si>
  <si>
    <t>L894</t>
  </si>
  <si>
    <t>L895</t>
  </si>
  <si>
    <t>L896</t>
  </si>
  <si>
    <t>L897</t>
  </si>
  <si>
    <t>L898</t>
  </si>
  <si>
    <t>L899</t>
  </si>
  <si>
    <t>L900</t>
  </si>
  <si>
    <t>L901</t>
  </si>
  <si>
    <t>L902</t>
  </si>
  <si>
    <t>L903</t>
  </si>
  <si>
    <t>L904</t>
  </si>
  <si>
    <t>L905</t>
  </si>
  <si>
    <t>L906</t>
  </si>
  <si>
    <t>L907</t>
  </si>
  <si>
    <t>L908</t>
  </si>
  <si>
    <t>L909</t>
  </si>
  <si>
    <t>L910</t>
  </si>
  <si>
    <t>L911</t>
  </si>
  <si>
    <t>L912</t>
  </si>
  <si>
    <t>L913</t>
  </si>
  <si>
    <t>L914</t>
  </si>
  <si>
    <t>L915</t>
  </si>
  <si>
    <t>L916</t>
  </si>
  <si>
    <t>L917</t>
  </si>
  <si>
    <t>L918</t>
  </si>
  <si>
    <t>L919</t>
  </si>
  <si>
    <t>L920</t>
  </si>
  <si>
    <t>L921</t>
  </si>
  <si>
    <t>L922</t>
  </si>
  <si>
    <t>L923</t>
  </si>
  <si>
    <t>L924</t>
  </si>
  <si>
    <t>L925</t>
  </si>
  <si>
    <t>L926</t>
  </si>
  <si>
    <t>L927</t>
  </si>
  <si>
    <t>L928</t>
  </si>
  <si>
    <t>L929</t>
  </si>
  <si>
    <t>L930</t>
  </si>
  <si>
    <t>L931</t>
  </si>
  <si>
    <t>L932</t>
  </si>
  <si>
    <t>L933</t>
  </si>
  <si>
    <t>L934</t>
  </si>
  <si>
    <t>L935</t>
  </si>
  <si>
    <t>L936</t>
  </si>
  <si>
    <t>L937</t>
  </si>
  <si>
    <t>L938</t>
  </si>
  <si>
    <t>L939</t>
  </si>
  <si>
    <t>L940</t>
  </si>
  <si>
    <t>L941</t>
  </si>
  <si>
    <t>L942</t>
  </si>
  <si>
    <t>L943</t>
  </si>
  <si>
    <t>L944</t>
  </si>
  <si>
    <t>L945</t>
  </si>
  <si>
    <t>L946</t>
  </si>
  <si>
    <t>L947</t>
  </si>
  <si>
    <t>L948</t>
  </si>
  <si>
    <t>L949</t>
  </si>
  <si>
    <t>L950</t>
  </si>
  <si>
    <t>L951</t>
  </si>
  <si>
    <t>L952</t>
  </si>
  <si>
    <t>L953</t>
  </si>
  <si>
    <t>L954</t>
  </si>
  <si>
    <t>L955</t>
  </si>
  <si>
    <t>L956</t>
  </si>
  <si>
    <t>L957</t>
  </si>
  <si>
    <t>L958</t>
  </si>
  <si>
    <t>L959</t>
  </si>
  <si>
    <t>L960</t>
  </si>
  <si>
    <t>L961</t>
  </si>
  <si>
    <t>L962</t>
  </si>
  <si>
    <t>L963</t>
  </si>
  <si>
    <t>L964</t>
  </si>
  <si>
    <t>L965</t>
  </si>
  <si>
    <t>L966</t>
  </si>
  <si>
    <t>L967</t>
  </si>
  <si>
    <t>L968</t>
  </si>
  <si>
    <t>L969</t>
  </si>
  <si>
    <t>L970</t>
  </si>
  <si>
    <t>L971</t>
  </si>
  <si>
    <t>L972</t>
  </si>
  <si>
    <t>L973</t>
  </si>
  <si>
    <t>L974</t>
  </si>
  <si>
    <t>L975</t>
  </si>
  <si>
    <t>L976</t>
  </si>
  <si>
    <t>L977</t>
  </si>
  <si>
    <t>L978</t>
  </si>
  <si>
    <t>L979</t>
  </si>
  <si>
    <t>L980</t>
  </si>
  <si>
    <t>L981</t>
  </si>
  <si>
    <t>L982</t>
  </si>
  <si>
    <t>L983</t>
  </si>
  <si>
    <t>L984</t>
  </si>
  <si>
    <t>L985</t>
  </si>
  <si>
    <t>L986</t>
  </si>
  <si>
    <t>L987</t>
  </si>
  <si>
    <t>L988</t>
  </si>
  <si>
    <t>L989</t>
  </si>
  <si>
    <t>L990</t>
  </si>
  <si>
    <t>L991</t>
  </si>
  <si>
    <t>L992</t>
  </si>
  <si>
    <t>L993</t>
  </si>
  <si>
    <t>L994</t>
  </si>
  <si>
    <t>L995</t>
  </si>
  <si>
    <t>L996</t>
  </si>
  <si>
    <t>L997</t>
  </si>
  <si>
    <t>L998</t>
  </si>
  <si>
    <t>L999</t>
  </si>
  <si>
    <t>L1000</t>
  </si>
  <si>
    <t>L1001</t>
  </si>
  <si>
    <t>L1002</t>
  </si>
  <si>
    <t>L1003</t>
  </si>
  <si>
    <t>L1004</t>
  </si>
  <si>
    <t>L1005</t>
  </si>
  <si>
    <t>L1006</t>
  </si>
  <si>
    <t>L1007</t>
  </si>
  <si>
    <t>L1008</t>
  </si>
  <si>
    <t>L1009</t>
  </si>
  <si>
    <t>L1010</t>
  </si>
  <si>
    <t>L1011</t>
  </si>
  <si>
    <t>L1012</t>
  </si>
  <si>
    <t>L1013</t>
  </si>
  <si>
    <t>L1014</t>
  </si>
  <si>
    <t>L1015</t>
  </si>
  <si>
    <t>L1016</t>
  </si>
  <si>
    <t>L1017</t>
  </si>
  <si>
    <t>L1018</t>
  </si>
  <si>
    <t>L1019</t>
  </si>
  <si>
    <t>L1020</t>
  </si>
  <si>
    <t>L1021</t>
  </si>
  <si>
    <t>L1022</t>
  </si>
  <si>
    <t>L1023</t>
  </si>
  <si>
    <t>L1024</t>
  </si>
  <si>
    <t>L1025</t>
  </si>
  <si>
    <t>L1026</t>
  </si>
  <si>
    <t>L1027</t>
  </si>
  <si>
    <t>L1028</t>
  </si>
  <si>
    <t>L1029</t>
  </si>
  <si>
    <t>L1030</t>
  </si>
  <si>
    <t>L1031</t>
  </si>
  <si>
    <t>L1032</t>
  </si>
  <si>
    <t>L1033</t>
  </si>
  <si>
    <t>L1034</t>
  </si>
  <si>
    <t>L1035</t>
  </si>
  <si>
    <t>L1036</t>
  </si>
  <si>
    <t>L1037</t>
  </si>
  <si>
    <t>L1038</t>
  </si>
  <si>
    <t>L1039</t>
  </si>
  <si>
    <t>L1040</t>
  </si>
  <si>
    <t>L1041</t>
  </si>
  <si>
    <t>L1042</t>
  </si>
  <si>
    <t>L1043</t>
  </si>
  <si>
    <t>L1044</t>
  </si>
  <si>
    <t>L1045</t>
  </si>
  <si>
    <t>L1046</t>
  </si>
  <si>
    <t>L1047</t>
  </si>
  <si>
    <t>L1048</t>
  </si>
  <si>
    <t>L1049</t>
  </si>
  <si>
    <t>L1050</t>
  </si>
  <si>
    <t>L1051</t>
  </si>
  <si>
    <t>L1052</t>
  </si>
  <si>
    <t>L1053</t>
  </si>
  <si>
    <t>L1054</t>
  </si>
  <si>
    <t>L1055</t>
  </si>
  <si>
    <t>L1056</t>
  </si>
  <si>
    <t>L1057</t>
  </si>
  <si>
    <t>L1058</t>
  </si>
  <si>
    <t>L1059</t>
  </si>
  <si>
    <t>L1060</t>
  </si>
  <si>
    <t>L1061</t>
  </si>
  <si>
    <t>L1062</t>
  </si>
  <si>
    <t>L1063</t>
  </si>
  <si>
    <t>L1064</t>
  </si>
  <si>
    <t>L1065</t>
  </si>
  <si>
    <t>L1066</t>
  </si>
  <si>
    <t>L1067</t>
  </si>
  <si>
    <t>L1068</t>
  </si>
  <si>
    <t>L1069</t>
  </si>
  <si>
    <t>L1070</t>
  </si>
  <si>
    <t>L1071</t>
  </si>
  <si>
    <t>L1072</t>
  </si>
  <si>
    <t>L1073</t>
  </si>
  <si>
    <t>L1074</t>
  </si>
  <si>
    <t>L1075</t>
  </si>
  <si>
    <t>L1076</t>
  </si>
  <si>
    <t>L1077</t>
  </si>
  <si>
    <t>L1078</t>
  </si>
  <si>
    <t>L1079</t>
  </si>
  <si>
    <t>L1080</t>
  </si>
  <si>
    <t>L1081</t>
  </si>
  <si>
    <t>L1082</t>
  </si>
  <si>
    <t>L1083</t>
  </si>
  <si>
    <t>L1084</t>
  </si>
  <si>
    <t>L1085</t>
  </si>
  <si>
    <t>L1086</t>
  </si>
  <si>
    <t>L1087</t>
  </si>
  <si>
    <t>L1088</t>
  </si>
  <si>
    <t>L1089</t>
  </si>
  <si>
    <t>L1090</t>
  </si>
  <si>
    <t>L1091</t>
  </si>
  <si>
    <t>L1092</t>
  </si>
  <si>
    <t>L1093</t>
  </si>
  <si>
    <t>L1094</t>
  </si>
  <si>
    <t>L1095</t>
  </si>
  <si>
    <t>L1096</t>
  </si>
  <si>
    <t>L1097</t>
  </si>
  <si>
    <t>L1098</t>
  </si>
  <si>
    <t>L1099</t>
  </si>
  <si>
    <t>L1100</t>
  </si>
  <si>
    <t>L1101</t>
  </si>
  <si>
    <t>L1102</t>
  </si>
  <si>
    <t>L1103</t>
  </si>
  <si>
    <t>L1104</t>
  </si>
  <si>
    <t>L1105</t>
  </si>
  <si>
    <t>L1106</t>
  </si>
  <si>
    <t>L1107</t>
  </si>
  <si>
    <t>L1108</t>
  </si>
  <si>
    <t>L1109</t>
  </si>
  <si>
    <t>L1110</t>
  </si>
  <si>
    <t>L1111</t>
  </si>
  <si>
    <t>L1112</t>
  </si>
  <si>
    <t>L1113</t>
  </si>
  <si>
    <t>L1114</t>
  </si>
  <si>
    <t>L1115</t>
  </si>
  <si>
    <t>L1116</t>
  </si>
  <si>
    <t>L1117</t>
  </si>
  <si>
    <t>L1118</t>
  </si>
  <si>
    <t>L1119</t>
  </si>
  <si>
    <t>L1120</t>
  </si>
  <si>
    <t>L1121</t>
  </si>
  <si>
    <t>L1122</t>
  </si>
  <si>
    <t>L1123</t>
  </si>
  <si>
    <t>L1124</t>
  </si>
  <si>
    <t>L1125</t>
  </si>
  <si>
    <t>L1126</t>
  </si>
  <si>
    <t>L1127</t>
  </si>
  <si>
    <t>L1128</t>
  </si>
  <si>
    <t>L1129</t>
  </si>
  <si>
    <t>L1130</t>
  </si>
  <si>
    <t>L1131</t>
  </si>
  <si>
    <t>L1132</t>
  </si>
  <si>
    <t>L1133</t>
  </si>
  <si>
    <t>L1134</t>
  </si>
  <si>
    <t>L1135</t>
  </si>
  <si>
    <t>L1136</t>
  </si>
  <si>
    <t>L1137</t>
  </si>
  <si>
    <t>L1138</t>
  </si>
  <si>
    <t>L1139</t>
  </si>
  <si>
    <t>L1140</t>
  </si>
  <si>
    <t>L1141</t>
  </si>
  <si>
    <t>L1142</t>
  </si>
  <si>
    <t>L1143</t>
  </si>
  <si>
    <t>L1144</t>
  </si>
  <si>
    <t>L1145</t>
  </si>
  <si>
    <t>L1146</t>
  </si>
  <si>
    <t>L1147</t>
  </si>
  <si>
    <t>L1148</t>
  </si>
  <si>
    <t>L1149</t>
  </si>
  <si>
    <t>L1150</t>
  </si>
  <si>
    <t>L1151</t>
  </si>
  <si>
    <t>L1152</t>
  </si>
  <si>
    <t>L1153</t>
  </si>
  <si>
    <t>L1154</t>
  </si>
  <si>
    <t>L1155</t>
  </si>
  <si>
    <t>L1156</t>
  </si>
  <si>
    <t>L1157</t>
  </si>
  <si>
    <t>L1158</t>
  </si>
  <si>
    <t>L1159</t>
  </si>
  <si>
    <t>L1160</t>
  </si>
  <si>
    <t>L1161</t>
  </si>
  <si>
    <t>L1162</t>
  </si>
  <si>
    <t>L1163</t>
  </si>
  <si>
    <t>L1164</t>
  </si>
  <si>
    <t>L1165</t>
  </si>
  <si>
    <t>L1166</t>
  </si>
  <si>
    <t>L1167</t>
  </si>
  <si>
    <t>L1168</t>
  </si>
  <si>
    <t>L1169</t>
  </si>
  <si>
    <t>L1170</t>
  </si>
  <si>
    <t>L1171</t>
  </si>
  <si>
    <t>L1172</t>
  </si>
  <si>
    <t>L1173</t>
  </si>
  <si>
    <t>L1174</t>
  </si>
  <si>
    <t>L1175</t>
  </si>
  <si>
    <t>L1176</t>
  </si>
  <si>
    <t>L1177</t>
  </si>
  <si>
    <t>L1178</t>
  </si>
  <si>
    <t>L1179</t>
  </si>
  <si>
    <t>L1180</t>
  </si>
  <si>
    <t>L1181</t>
  </si>
  <si>
    <t>L1182</t>
  </si>
  <si>
    <t>L1183</t>
  </si>
  <si>
    <t>L1184</t>
  </si>
  <si>
    <t>L1185</t>
  </si>
  <si>
    <t>L1186</t>
  </si>
  <si>
    <t>L1187</t>
  </si>
  <si>
    <t>L1188</t>
  </si>
  <si>
    <t>L1189</t>
  </si>
  <si>
    <t>L1190</t>
  </si>
  <si>
    <t>L1191</t>
  </si>
  <si>
    <t>L1192</t>
  </si>
  <si>
    <t>L1193</t>
  </si>
  <si>
    <t>L1194</t>
  </si>
  <si>
    <t>L1195</t>
  </si>
  <si>
    <t>L1196</t>
  </si>
  <si>
    <t>L1197</t>
  </si>
  <si>
    <t>L1198</t>
  </si>
  <si>
    <t>L1199</t>
  </si>
  <si>
    <t>L1200</t>
  </si>
  <si>
    <t>L1201</t>
  </si>
  <si>
    <t>L1202</t>
  </si>
  <si>
    <t>L1203</t>
  </si>
  <si>
    <t>L1204</t>
  </si>
  <si>
    <t>L1205</t>
  </si>
  <si>
    <t>L1206</t>
  </si>
  <si>
    <t>L1207</t>
  </si>
  <si>
    <t>L1208</t>
  </si>
  <si>
    <t>L1209</t>
  </si>
  <si>
    <t>L1210</t>
  </si>
  <si>
    <t>L1211</t>
  </si>
  <si>
    <t>L1212</t>
  </si>
  <si>
    <t>L1213</t>
  </si>
  <si>
    <t>L1214</t>
  </si>
  <si>
    <t>L1215</t>
  </si>
  <si>
    <t>L1216</t>
  </si>
  <si>
    <t>L1217</t>
  </si>
  <si>
    <t>L1218</t>
  </si>
  <si>
    <t>L1219</t>
  </si>
  <si>
    <t>L1220</t>
  </si>
  <si>
    <t>L1221</t>
  </si>
  <si>
    <t>L1222</t>
  </si>
  <si>
    <t>L1223</t>
  </si>
  <si>
    <t>L1224</t>
  </si>
  <si>
    <t>L1225</t>
  </si>
  <si>
    <t>L1226</t>
  </si>
  <si>
    <t>L1227</t>
  </si>
  <si>
    <t>L1228</t>
  </si>
  <si>
    <t>L1229</t>
  </si>
  <si>
    <t>L1230</t>
  </si>
  <si>
    <t>L1231</t>
  </si>
  <si>
    <t>L1232</t>
  </si>
  <si>
    <t>L1233</t>
  </si>
  <si>
    <t>L1234</t>
  </si>
  <si>
    <t>L1235</t>
  </si>
  <si>
    <t>L1236</t>
  </si>
  <si>
    <t>L1237</t>
  </si>
  <si>
    <t>L1238</t>
  </si>
  <si>
    <t>L1239</t>
  </si>
  <si>
    <t>L1240</t>
  </si>
  <si>
    <t>L1241</t>
  </si>
  <si>
    <t>L1242</t>
  </si>
  <si>
    <t>L1243</t>
  </si>
  <si>
    <t>L1244</t>
  </si>
  <si>
    <t>L1245</t>
  </si>
  <si>
    <t>L1246</t>
  </si>
  <si>
    <t>L1247</t>
  </si>
  <si>
    <t>L1248</t>
  </si>
  <si>
    <t>L1249</t>
  </si>
  <si>
    <t>L1250</t>
  </si>
  <si>
    <t>L1251</t>
  </si>
  <si>
    <t>L1252</t>
  </si>
  <si>
    <t>L1253</t>
  </si>
  <si>
    <t>L1254</t>
  </si>
  <si>
    <t>L1255</t>
  </si>
  <si>
    <t>L1256</t>
  </si>
  <si>
    <t>L1257</t>
  </si>
  <si>
    <t>L1258</t>
  </si>
  <si>
    <t>L1259</t>
  </si>
  <si>
    <t>L1260</t>
  </si>
  <si>
    <t>L1261</t>
  </si>
  <si>
    <t>L1262</t>
  </si>
  <si>
    <t>L1263</t>
  </si>
  <si>
    <t>L1264</t>
  </si>
  <si>
    <t>L1265</t>
  </si>
  <si>
    <t>L1266</t>
  </si>
  <si>
    <t>L1267</t>
  </si>
  <si>
    <t>L1268</t>
  </si>
  <si>
    <t>L1269</t>
  </si>
  <si>
    <t>L1270</t>
  </si>
  <si>
    <t>L1271</t>
  </si>
  <si>
    <t>L1272</t>
  </si>
  <si>
    <t>L1273</t>
  </si>
  <si>
    <t>L1274</t>
  </si>
  <si>
    <t>L1275</t>
  </si>
  <si>
    <t>L1276</t>
  </si>
  <si>
    <t>L1277</t>
  </si>
  <si>
    <t>L1278</t>
  </si>
  <si>
    <t>L1279</t>
  </si>
  <si>
    <t>L1280</t>
  </si>
  <si>
    <t>L1281</t>
  </si>
  <si>
    <t>L1282</t>
  </si>
  <si>
    <t>L1283</t>
  </si>
  <si>
    <t>L1284</t>
  </si>
  <si>
    <t>L1285</t>
  </si>
  <si>
    <t>L1286</t>
  </si>
  <si>
    <t>L1287</t>
  </si>
  <si>
    <t>L1288</t>
  </si>
  <si>
    <t>L1289</t>
  </si>
  <si>
    <t>L1290</t>
  </si>
  <si>
    <t>L1291</t>
  </si>
  <si>
    <t>L1292</t>
  </si>
  <si>
    <t>L1293</t>
  </si>
  <si>
    <t>L1294</t>
  </si>
  <si>
    <t>L1295</t>
  </si>
  <si>
    <t>L1296</t>
  </si>
  <si>
    <t>L1297</t>
  </si>
  <si>
    <t>L1298</t>
  </si>
  <si>
    <t>L1299</t>
  </si>
  <si>
    <t>L1300</t>
  </si>
  <si>
    <t>L1301</t>
  </si>
  <si>
    <t>L1302</t>
  </si>
  <si>
    <t>L1303</t>
  </si>
  <si>
    <t>L1304</t>
  </si>
  <si>
    <t>L1305</t>
  </si>
  <si>
    <t>L1306</t>
  </si>
  <si>
    <t>L1307</t>
  </si>
  <si>
    <t>L1308</t>
  </si>
  <si>
    <t>L1309</t>
  </si>
  <si>
    <t>L1310</t>
  </si>
  <si>
    <t>L1311</t>
  </si>
  <si>
    <t>L1312</t>
  </si>
  <si>
    <t>L1313</t>
  </si>
  <si>
    <t>L1314</t>
  </si>
  <si>
    <t>L1315</t>
  </si>
  <si>
    <t>L1316</t>
  </si>
  <si>
    <t>L1317</t>
  </si>
  <si>
    <t>L1318</t>
  </si>
  <si>
    <t>L1319</t>
  </si>
  <si>
    <t>L1320</t>
  </si>
  <si>
    <t>L1321</t>
  </si>
  <si>
    <t>L1322</t>
  </si>
  <si>
    <t>L1323</t>
  </si>
  <si>
    <t>L1324</t>
  </si>
  <si>
    <t>L1325</t>
  </si>
  <si>
    <t>L1326</t>
  </si>
  <si>
    <t>L1327</t>
  </si>
  <si>
    <t>L1328</t>
  </si>
  <si>
    <t>L1329</t>
  </si>
  <si>
    <t>L1330</t>
  </si>
  <si>
    <t>L1331</t>
  </si>
  <si>
    <t>L1332</t>
  </si>
  <si>
    <t>L1333</t>
  </si>
  <si>
    <t>L1334</t>
  </si>
  <si>
    <t>L1335</t>
  </si>
  <si>
    <t>L1336</t>
  </si>
  <si>
    <t>L1337</t>
  </si>
  <si>
    <t>L1338</t>
  </si>
  <si>
    <t>L1339</t>
  </si>
  <si>
    <t>L1340</t>
  </si>
  <si>
    <t>L1341</t>
  </si>
  <si>
    <t>L1342</t>
  </si>
  <si>
    <t>L1343</t>
  </si>
  <si>
    <t>L1344</t>
  </si>
  <si>
    <t>L1345</t>
  </si>
  <si>
    <t>L1346</t>
  </si>
  <si>
    <t>L1347</t>
  </si>
  <si>
    <t>L1348</t>
  </si>
  <si>
    <t>L1349</t>
  </si>
  <si>
    <t>L1350</t>
  </si>
  <si>
    <t>L1351</t>
  </si>
  <si>
    <t>L1352</t>
  </si>
  <si>
    <t>L1353</t>
  </si>
  <si>
    <t>L1354</t>
  </si>
  <si>
    <t>L1355</t>
  </si>
  <si>
    <t>L1356</t>
  </si>
  <si>
    <t>L1357</t>
  </si>
  <si>
    <t>L1358</t>
  </si>
  <si>
    <t>L1359</t>
  </si>
  <si>
    <t>L1360</t>
  </si>
  <si>
    <t>L1361</t>
  </si>
  <si>
    <t>L1362</t>
  </si>
  <si>
    <t>L1363</t>
  </si>
  <si>
    <t>L1364</t>
  </si>
  <si>
    <t>L1365</t>
  </si>
  <si>
    <t>L1366</t>
  </si>
  <si>
    <t>L1367</t>
  </si>
  <si>
    <t>L1368</t>
  </si>
  <si>
    <t>L1369</t>
  </si>
  <si>
    <t>L1370</t>
  </si>
  <si>
    <t>L1371</t>
  </si>
  <si>
    <t>L1372</t>
  </si>
  <si>
    <t>L1373</t>
  </si>
  <si>
    <t>L1374</t>
  </si>
  <si>
    <t>L1375</t>
  </si>
  <si>
    <t>L1376</t>
  </si>
  <si>
    <t>L1377</t>
  </si>
  <si>
    <t>L1378</t>
  </si>
  <si>
    <t>L1379</t>
  </si>
  <si>
    <t>L1380</t>
  </si>
  <si>
    <t>L1381</t>
  </si>
  <si>
    <t>L1382</t>
  </si>
  <si>
    <t>L1383</t>
  </si>
  <si>
    <t>L1384</t>
  </si>
  <si>
    <t>L1385</t>
  </si>
  <si>
    <t>L1386</t>
  </si>
  <si>
    <t>L1387</t>
  </si>
  <si>
    <t>L1388</t>
  </si>
  <si>
    <t>L1389</t>
  </si>
  <si>
    <t>L1390</t>
  </si>
  <si>
    <t>L1391</t>
  </si>
  <si>
    <t>L1392</t>
  </si>
  <si>
    <t>L1393</t>
  </si>
  <si>
    <t>L1394</t>
  </si>
  <si>
    <t>L1395</t>
  </si>
  <si>
    <t>L1396</t>
  </si>
  <si>
    <t>L1397</t>
  </si>
  <si>
    <t>L1398</t>
  </si>
  <si>
    <t>L1399</t>
  </si>
  <si>
    <t>L1400</t>
  </si>
  <si>
    <t>L1401</t>
  </si>
  <si>
    <t>L1402</t>
  </si>
  <si>
    <t>L1403</t>
  </si>
  <si>
    <t>L1404</t>
  </si>
  <si>
    <t>L1405</t>
  </si>
  <si>
    <t>L1406</t>
  </si>
  <si>
    <t>L1407</t>
  </si>
  <si>
    <t>L1408</t>
  </si>
  <si>
    <t>L1409</t>
  </si>
  <si>
    <t>L1410</t>
  </si>
  <si>
    <t>L1411</t>
  </si>
  <si>
    <t>L1412</t>
  </si>
  <si>
    <t>L1413</t>
  </si>
  <si>
    <t>L1414</t>
  </si>
  <si>
    <t>L1415</t>
  </si>
  <si>
    <t>L1416</t>
  </si>
  <si>
    <t>L1417</t>
  </si>
  <si>
    <t>L1418</t>
  </si>
  <si>
    <t>L1419</t>
  </si>
  <si>
    <t>L1420</t>
  </si>
  <si>
    <t>L1421</t>
  </si>
  <si>
    <t>L1422</t>
  </si>
  <si>
    <t>L1423</t>
  </si>
  <si>
    <t>L1424</t>
  </si>
  <si>
    <t>L1425</t>
  </si>
  <si>
    <t>L1426</t>
  </si>
  <si>
    <t>L1427</t>
  </si>
  <si>
    <t>L1428</t>
  </si>
  <si>
    <t>L1429</t>
  </si>
  <si>
    <t>L1430</t>
  </si>
  <si>
    <t>L1431</t>
  </si>
  <si>
    <t>L1432</t>
  </si>
  <si>
    <t>L1433</t>
  </si>
  <si>
    <t>L1434</t>
  </si>
  <si>
    <t>L1435</t>
  </si>
  <si>
    <t>L1436</t>
  </si>
  <si>
    <t>L1437</t>
  </si>
  <si>
    <t>L1438</t>
  </si>
  <si>
    <t>L1439</t>
  </si>
  <si>
    <t>L1440</t>
  </si>
  <si>
    <t>L1441</t>
  </si>
  <si>
    <t>L1442</t>
  </si>
  <si>
    <t>L1443</t>
  </si>
  <si>
    <t>L1444</t>
  </si>
  <si>
    <t>L1445</t>
  </si>
  <si>
    <t>L1446</t>
  </si>
  <si>
    <t>L1447</t>
  </si>
  <si>
    <t>L1448</t>
  </si>
  <si>
    <t>L1449</t>
  </si>
  <si>
    <t>L1450</t>
  </si>
  <si>
    <t>L1451</t>
  </si>
  <si>
    <t>L1452</t>
  </si>
  <si>
    <t>L1453</t>
  </si>
  <si>
    <t>L1454</t>
  </si>
  <si>
    <t>L1455</t>
  </si>
  <si>
    <t>L1456</t>
  </si>
  <si>
    <t>L1457</t>
  </si>
  <si>
    <t>L1458</t>
  </si>
  <si>
    <t>L1459</t>
  </si>
  <si>
    <t>L1460</t>
  </si>
  <si>
    <t>L1461</t>
  </si>
  <si>
    <t>L1462</t>
  </si>
  <si>
    <t>L1463</t>
  </si>
  <si>
    <t>L1464</t>
  </si>
  <si>
    <t>L1465</t>
  </si>
  <si>
    <t>L1466</t>
  </si>
  <si>
    <t>L1467</t>
  </si>
  <si>
    <t>L1468</t>
  </si>
  <si>
    <t>L1469</t>
  </si>
  <si>
    <t>L1470</t>
  </si>
  <si>
    <t>L1471</t>
  </si>
  <si>
    <t>L1472</t>
  </si>
  <si>
    <t>L1473</t>
  </si>
  <si>
    <t>L1474</t>
  </si>
  <si>
    <t>L1475</t>
  </si>
  <si>
    <t>L1476</t>
  </si>
  <si>
    <t>L1477</t>
  </si>
  <si>
    <t>L1478</t>
  </si>
  <si>
    <t>L1479</t>
  </si>
  <si>
    <t>L1480</t>
  </si>
  <si>
    <t>L1481</t>
  </si>
  <si>
    <t>L1482</t>
  </si>
  <si>
    <t>L1483</t>
  </si>
  <si>
    <t>L1484</t>
  </si>
  <si>
    <t>L1485</t>
  </si>
  <si>
    <t>L1486</t>
  </si>
  <si>
    <t>L1487</t>
  </si>
  <si>
    <t>L1488</t>
  </si>
  <si>
    <t>L1489</t>
  </si>
  <si>
    <t>L1490</t>
  </si>
  <si>
    <t>L1491</t>
  </si>
  <si>
    <t>L1492</t>
  </si>
  <si>
    <t>L1493</t>
  </si>
  <si>
    <t>L1494</t>
  </si>
  <si>
    <t>L1495</t>
  </si>
  <si>
    <t>L1496</t>
  </si>
  <si>
    <t>L1497</t>
  </si>
  <si>
    <t>L1498</t>
  </si>
  <si>
    <t>L1499</t>
  </si>
  <si>
    <t>L1500</t>
  </si>
  <si>
    <t>L1501</t>
  </si>
  <si>
    <t>L1502</t>
  </si>
  <si>
    <t>L1503</t>
  </si>
  <si>
    <t>L1504</t>
  </si>
  <si>
    <t>L1505</t>
  </si>
  <si>
    <t>L1506</t>
  </si>
  <si>
    <t>L1507</t>
  </si>
  <si>
    <t>L1508</t>
  </si>
  <si>
    <t>L1509</t>
  </si>
  <si>
    <t>L1510</t>
  </si>
  <si>
    <t>L1511</t>
  </si>
  <si>
    <t>L1512</t>
  </si>
  <si>
    <t>L1513</t>
  </si>
  <si>
    <t>L1514</t>
  </si>
  <si>
    <t>L1515</t>
  </si>
  <si>
    <t>L1516</t>
  </si>
  <si>
    <t>L1517</t>
  </si>
  <si>
    <t>L1518</t>
  </si>
  <si>
    <t>L1519</t>
  </si>
  <si>
    <t>L1520</t>
  </si>
  <si>
    <t>L1521</t>
  </si>
  <si>
    <t>L1522</t>
  </si>
  <si>
    <t>L1523</t>
  </si>
  <si>
    <t>L1524</t>
  </si>
  <si>
    <t>L1525</t>
  </si>
  <si>
    <t>L1526</t>
  </si>
  <si>
    <t>L1527</t>
  </si>
  <si>
    <t>L1528</t>
  </si>
  <si>
    <t>L1529</t>
  </si>
  <si>
    <t>L1530</t>
  </si>
  <si>
    <t>L1531</t>
  </si>
  <si>
    <t>L1532</t>
  </si>
  <si>
    <t>L1533</t>
  </si>
  <si>
    <t>L1534</t>
  </si>
  <si>
    <t>L1535</t>
  </si>
  <si>
    <t>L1536</t>
  </si>
  <si>
    <t>L1537</t>
  </si>
  <si>
    <t>L1538</t>
  </si>
  <si>
    <t>L1539</t>
  </si>
  <si>
    <t>L1540</t>
  </si>
  <si>
    <t>L1541</t>
  </si>
  <si>
    <t>L1542</t>
  </si>
  <si>
    <t>L1543</t>
  </si>
  <si>
    <t>L1544</t>
  </si>
  <si>
    <t>L1545</t>
  </si>
  <si>
    <t>L1546</t>
  </si>
  <si>
    <t>L1547</t>
  </si>
  <si>
    <t>L1548</t>
  </si>
  <si>
    <t>L1549</t>
  </si>
  <si>
    <t>L1550</t>
  </si>
  <si>
    <t>L1551</t>
  </si>
  <si>
    <t>L1552</t>
  </si>
  <si>
    <t>L1553</t>
  </si>
  <si>
    <t>L1554</t>
  </si>
  <si>
    <t>L1555</t>
  </si>
  <si>
    <t>L1556</t>
  </si>
  <si>
    <t>L1557</t>
  </si>
  <si>
    <t>L1558</t>
  </si>
  <si>
    <t>L1559</t>
  </si>
  <si>
    <t>L1560</t>
  </si>
  <si>
    <t>L1561</t>
  </si>
  <si>
    <t>L1562</t>
  </si>
  <si>
    <t>L1563</t>
  </si>
  <si>
    <t>L1564</t>
  </si>
  <si>
    <t>L1565</t>
  </si>
  <si>
    <t>L1566</t>
  </si>
  <si>
    <t>L1567</t>
  </si>
  <si>
    <t>L1568</t>
  </si>
  <si>
    <t>L1569</t>
  </si>
  <si>
    <t>L1570</t>
  </si>
  <si>
    <t>L1571</t>
  </si>
  <si>
    <t>L1572</t>
  </si>
  <si>
    <t>L1573</t>
  </si>
  <si>
    <t>L1574</t>
  </si>
  <si>
    <t>L1575</t>
  </si>
  <si>
    <t>L1576</t>
  </si>
  <si>
    <t>L1577</t>
  </si>
  <si>
    <t>L1578</t>
  </si>
  <si>
    <t>L1579</t>
  </si>
  <si>
    <t>L1580</t>
  </si>
  <si>
    <t>L1581</t>
  </si>
  <si>
    <t>L1582</t>
  </si>
  <si>
    <t>L1583</t>
  </si>
  <si>
    <t>L1584</t>
  </si>
  <si>
    <t>L1585</t>
  </si>
  <si>
    <t>L1586</t>
  </si>
  <si>
    <t>L1587</t>
  </si>
  <si>
    <t>L1588</t>
  </si>
  <si>
    <t>L1589</t>
  </si>
  <si>
    <t>L1590</t>
  </si>
  <si>
    <t>L1591</t>
  </si>
  <si>
    <t>L1592</t>
  </si>
  <si>
    <t>L1593</t>
  </si>
  <si>
    <t>L1594</t>
  </si>
  <si>
    <t>L1595</t>
  </si>
  <si>
    <t>L1596</t>
  </si>
  <si>
    <t>L1597</t>
  </si>
  <si>
    <t>L1598</t>
  </si>
  <si>
    <t>L1599</t>
  </si>
  <si>
    <t>L1600</t>
  </si>
  <si>
    <t>L1601</t>
  </si>
  <si>
    <t>L1602</t>
  </si>
  <si>
    <t>L1603</t>
  </si>
  <si>
    <t>L1604</t>
  </si>
  <si>
    <t>L1605</t>
  </si>
  <si>
    <t>L1606</t>
  </si>
  <si>
    <t>L1607</t>
  </si>
  <si>
    <t>L1608</t>
  </si>
  <si>
    <t>L1609</t>
  </si>
  <si>
    <t>L1610</t>
  </si>
  <si>
    <t>L1611</t>
  </si>
  <si>
    <t>L1612</t>
  </si>
  <si>
    <t>L1613</t>
  </si>
  <si>
    <t>L1614</t>
  </si>
  <si>
    <t>L1615</t>
  </si>
  <si>
    <t>L1616</t>
  </si>
  <si>
    <t>L1617</t>
  </si>
  <si>
    <t>L1618</t>
  </si>
  <si>
    <t>L1619</t>
  </si>
  <si>
    <t>L1620</t>
  </si>
  <si>
    <t>L1621</t>
  </si>
  <si>
    <t>L1622</t>
  </si>
  <si>
    <t>L1623</t>
  </si>
  <si>
    <t>L1624</t>
  </si>
  <si>
    <t>L1625</t>
  </si>
  <si>
    <t>L1626</t>
  </si>
  <si>
    <t>L1627</t>
  </si>
  <si>
    <t>L1628</t>
  </si>
  <si>
    <t>L1629</t>
  </si>
  <si>
    <t>L1630</t>
  </si>
  <si>
    <t>L1631</t>
  </si>
  <si>
    <t>L1632</t>
  </si>
  <si>
    <t>L1633</t>
  </si>
  <si>
    <t>L1634</t>
  </si>
  <si>
    <t>L1635</t>
  </si>
  <si>
    <t>L1636</t>
  </si>
  <si>
    <t>L1637</t>
  </si>
  <si>
    <t>L1638</t>
  </si>
  <si>
    <t>L1639</t>
  </si>
  <si>
    <t>L1640</t>
  </si>
  <si>
    <t>L1641</t>
  </si>
  <si>
    <t>L1642</t>
  </si>
  <si>
    <t>L1643</t>
  </si>
  <si>
    <t>L1644</t>
  </si>
  <si>
    <t>L1645</t>
  </si>
  <si>
    <t>L1646</t>
  </si>
  <si>
    <t>L1647</t>
  </si>
  <si>
    <t>L1648</t>
  </si>
  <si>
    <t>L1649</t>
  </si>
  <si>
    <t>L1650</t>
  </si>
  <si>
    <t>L1651</t>
  </si>
  <si>
    <t>L1652</t>
  </si>
  <si>
    <t>L1653</t>
  </si>
  <si>
    <t>L1654</t>
  </si>
  <si>
    <t>L1655</t>
  </si>
  <si>
    <t>L1656</t>
  </si>
  <si>
    <t>L1657</t>
  </si>
  <si>
    <t>L1658</t>
  </si>
  <si>
    <t>L1659</t>
  </si>
  <si>
    <t>L1660</t>
  </si>
  <si>
    <t>L1661</t>
  </si>
  <si>
    <t>L1662</t>
  </si>
  <si>
    <t>L1663</t>
  </si>
  <si>
    <t>L1664</t>
  </si>
  <si>
    <t>L1665</t>
  </si>
  <si>
    <t>L1666</t>
  </si>
  <si>
    <t>L1667</t>
  </si>
  <si>
    <t>L1668</t>
  </si>
  <si>
    <t>L1669</t>
  </si>
  <si>
    <t>L1670</t>
  </si>
  <si>
    <t>L1671</t>
  </si>
  <si>
    <t>L1672</t>
  </si>
  <si>
    <t>L1673</t>
  </si>
  <si>
    <t>L1674</t>
  </si>
  <si>
    <t>L1675</t>
  </si>
  <si>
    <t>L1676</t>
  </si>
  <si>
    <t>L1677</t>
  </si>
  <si>
    <t>L1678</t>
  </si>
  <si>
    <t>L1679</t>
  </si>
  <si>
    <t>L1680</t>
  </si>
  <si>
    <t>L1681</t>
  </si>
  <si>
    <t>L1682</t>
  </si>
  <si>
    <t>L1683</t>
  </si>
  <si>
    <t>L1684</t>
  </si>
  <si>
    <t>L1685</t>
  </si>
  <si>
    <t>L1686</t>
  </si>
  <si>
    <t>L1687</t>
  </si>
  <si>
    <t>L1688</t>
  </si>
  <si>
    <t>L1689</t>
  </si>
  <si>
    <t>L1690</t>
  </si>
  <si>
    <t>L1691</t>
  </si>
  <si>
    <t>L1692</t>
  </si>
  <si>
    <t>L1693</t>
  </si>
  <si>
    <t>L1694</t>
  </si>
  <si>
    <t>L1695</t>
  </si>
  <si>
    <t>L1696</t>
  </si>
  <si>
    <t>L1697</t>
  </si>
  <si>
    <t>L1698</t>
  </si>
  <si>
    <t>L1699</t>
  </si>
  <si>
    <t>L1700</t>
  </si>
  <si>
    <t>L1701</t>
  </si>
  <si>
    <t>L1702</t>
  </si>
  <si>
    <t>L1703</t>
  </si>
  <si>
    <t>L1704</t>
  </si>
  <si>
    <t>L1705</t>
  </si>
  <si>
    <t>L1706</t>
  </si>
  <si>
    <t>L1707</t>
  </si>
  <si>
    <t>L1708</t>
  </si>
  <si>
    <t>L1709</t>
  </si>
  <si>
    <t>L1710</t>
  </si>
  <si>
    <t>L1711</t>
  </si>
  <si>
    <t>L1712</t>
  </si>
  <si>
    <t>L1713</t>
  </si>
  <si>
    <t>L1714</t>
  </si>
  <si>
    <t>L1715</t>
  </si>
  <si>
    <t>L1716</t>
  </si>
  <si>
    <t>L1717</t>
  </si>
  <si>
    <t>L1718</t>
  </si>
  <si>
    <t>L1719</t>
  </si>
  <si>
    <t>L1720</t>
  </si>
  <si>
    <t>L1721</t>
  </si>
  <si>
    <t>L1722</t>
  </si>
  <si>
    <t>L1723</t>
  </si>
  <si>
    <t>L1724</t>
  </si>
  <si>
    <t>L1725</t>
  </si>
  <si>
    <t>L1726</t>
  </si>
  <si>
    <t>L1727</t>
  </si>
  <si>
    <t>L1728</t>
  </si>
  <si>
    <t>L1729</t>
  </si>
  <si>
    <t>L1730</t>
  </si>
  <si>
    <t>L1731</t>
  </si>
  <si>
    <t>L1732</t>
  </si>
  <si>
    <t>L1733</t>
  </si>
  <si>
    <t>L1734</t>
  </si>
  <si>
    <t>L1735</t>
  </si>
  <si>
    <t>L1736</t>
  </si>
  <si>
    <t>L1737</t>
  </si>
  <si>
    <t>L1738</t>
  </si>
  <si>
    <t>L1739</t>
  </si>
  <si>
    <t>L1740</t>
  </si>
  <si>
    <t>L1741</t>
  </si>
  <si>
    <t>L1742</t>
  </si>
  <si>
    <t>L1743</t>
  </si>
  <si>
    <t>L1744</t>
  </si>
  <si>
    <t>L1745</t>
  </si>
  <si>
    <t>L1746</t>
  </si>
  <si>
    <t>L1747</t>
  </si>
  <si>
    <t>L1748</t>
  </si>
  <si>
    <t>L1749</t>
  </si>
  <si>
    <t>L1750</t>
  </si>
  <si>
    <t>L1751</t>
  </si>
  <si>
    <t>L1752</t>
  </si>
  <si>
    <t>L1753</t>
  </si>
  <si>
    <t>L1754</t>
  </si>
  <si>
    <t>L1755</t>
  </si>
  <si>
    <t>L1756</t>
  </si>
  <si>
    <t>L1757</t>
  </si>
  <si>
    <t>L1758</t>
  </si>
  <si>
    <t>L1759</t>
  </si>
  <si>
    <t>L1760</t>
  </si>
  <si>
    <t>L1761</t>
  </si>
  <si>
    <t>L1762</t>
  </si>
  <si>
    <t>L1763</t>
  </si>
  <si>
    <t>L1764</t>
  </si>
  <si>
    <t>L1765</t>
  </si>
  <si>
    <t>L1766</t>
  </si>
  <si>
    <t>L1767</t>
  </si>
  <si>
    <t>L1768</t>
  </si>
  <si>
    <t>L1769</t>
  </si>
  <si>
    <t>L1770</t>
  </si>
  <si>
    <t>L1771</t>
  </si>
  <si>
    <t>L1772</t>
  </si>
  <si>
    <t>L1773</t>
  </si>
  <si>
    <t>L1774</t>
  </si>
  <si>
    <t>L1775</t>
  </si>
  <si>
    <t>L1776</t>
  </si>
  <si>
    <t>L1777</t>
  </si>
  <si>
    <t>L1778</t>
  </si>
  <si>
    <t>L1779</t>
  </si>
  <si>
    <t>L1780</t>
  </si>
  <si>
    <t>L1781</t>
  </si>
  <si>
    <t>L1782</t>
  </si>
  <si>
    <t>L1783</t>
  </si>
  <si>
    <t>L1784</t>
  </si>
  <si>
    <t>L1785</t>
  </si>
  <si>
    <t>L1786</t>
  </si>
  <si>
    <t>L1787</t>
  </si>
  <si>
    <t>L1788</t>
  </si>
  <si>
    <t>L1789</t>
  </si>
  <si>
    <t>L1790</t>
  </si>
  <si>
    <t>L1791</t>
  </si>
  <si>
    <t>L1792</t>
  </si>
  <si>
    <t>L1793</t>
  </si>
  <si>
    <t>L1794</t>
  </si>
  <si>
    <t>L1795</t>
  </si>
  <si>
    <t>L1796</t>
  </si>
  <si>
    <t>L1797</t>
  </si>
  <si>
    <t>L1798</t>
  </si>
  <si>
    <t>L1799</t>
  </si>
  <si>
    <t>L1800</t>
  </si>
  <si>
    <t>L1801</t>
  </si>
  <si>
    <t>L1802</t>
  </si>
  <si>
    <t>L1803</t>
  </si>
  <si>
    <t>L1804</t>
  </si>
  <si>
    <t>L1805</t>
  </si>
  <si>
    <t>L1806</t>
  </si>
  <si>
    <t>L1807</t>
  </si>
  <si>
    <t>L1808</t>
  </si>
  <si>
    <t>L1809</t>
  </si>
  <si>
    <t>L1810</t>
  </si>
  <si>
    <t>L1811</t>
  </si>
  <si>
    <t>L1812</t>
  </si>
  <si>
    <t>L1813</t>
  </si>
  <si>
    <t>L1814</t>
  </si>
  <si>
    <t>L1815</t>
  </si>
  <si>
    <t>L1816</t>
  </si>
  <si>
    <t>L1817</t>
  </si>
  <si>
    <t>L1818</t>
  </si>
  <si>
    <t>L1819</t>
  </si>
  <si>
    <t>L1820</t>
  </si>
  <si>
    <t>L1821</t>
  </si>
  <si>
    <t>L1822</t>
  </si>
  <si>
    <t>L1823</t>
  </si>
  <si>
    <t>L1824</t>
  </si>
  <si>
    <t>L1825</t>
  </si>
  <si>
    <t>L1826</t>
  </si>
  <si>
    <t>L1827</t>
  </si>
  <si>
    <t>L1828</t>
  </si>
  <si>
    <t>L1829</t>
  </si>
  <si>
    <t>L1830</t>
  </si>
  <si>
    <t>L1831</t>
  </si>
  <si>
    <t>L1832</t>
  </si>
  <si>
    <t>L1833</t>
  </si>
  <si>
    <t>L1834</t>
  </si>
  <si>
    <t>L1835</t>
  </si>
  <si>
    <t>L1836</t>
  </si>
  <si>
    <t>L1837</t>
  </si>
  <si>
    <t>L1838</t>
  </si>
  <si>
    <t>L1839</t>
  </si>
  <si>
    <t>L1840</t>
  </si>
  <si>
    <t>L1841</t>
  </si>
  <si>
    <t>L1842</t>
  </si>
  <si>
    <t>L1843</t>
  </si>
  <si>
    <t>L1844</t>
  </si>
  <si>
    <t>L1845</t>
  </si>
  <si>
    <t>L1846</t>
  </si>
  <si>
    <t>L1847</t>
  </si>
  <si>
    <t>L1848</t>
  </si>
  <si>
    <t>L1849</t>
  </si>
  <si>
    <t>L1850</t>
  </si>
  <si>
    <t>L1851</t>
  </si>
  <si>
    <t>L1852</t>
  </si>
  <si>
    <t>L1853</t>
  </si>
  <si>
    <t>L1854</t>
  </si>
  <si>
    <t>L1855</t>
  </si>
  <si>
    <t>L1856</t>
  </si>
  <si>
    <t>L1857</t>
  </si>
  <si>
    <t>L1858</t>
  </si>
  <si>
    <t>L1859</t>
  </si>
  <si>
    <t>L1860</t>
  </si>
  <si>
    <t>L1861</t>
  </si>
  <si>
    <t>L1862</t>
  </si>
  <si>
    <t>L1863</t>
  </si>
  <si>
    <t>L1864</t>
  </si>
  <si>
    <t>L1865</t>
  </si>
  <si>
    <t>L1866</t>
  </si>
  <si>
    <t>L1867</t>
  </si>
  <si>
    <t>L1868</t>
  </si>
  <si>
    <t>L1869</t>
  </si>
  <si>
    <t>L1870</t>
  </si>
  <si>
    <t>L1871</t>
  </si>
  <si>
    <t>L1872</t>
  </si>
  <si>
    <t>L1873</t>
  </si>
  <si>
    <t>L1874</t>
  </si>
  <si>
    <t>L1875</t>
  </si>
  <si>
    <t>L1876</t>
  </si>
  <si>
    <t>L1877</t>
  </si>
  <si>
    <t>L1878</t>
  </si>
  <si>
    <t>L1879</t>
  </si>
  <si>
    <t>L1880</t>
  </si>
  <si>
    <t>L1881</t>
  </si>
  <si>
    <t>L1882</t>
  </si>
  <si>
    <t>L1883</t>
  </si>
  <si>
    <t>L1884</t>
  </si>
  <si>
    <t>L1885</t>
  </si>
  <si>
    <t>L1886</t>
  </si>
  <si>
    <t>L1887</t>
  </si>
  <si>
    <t>L1888</t>
  </si>
  <si>
    <t>L1889</t>
  </si>
  <si>
    <t>L1890</t>
  </si>
  <si>
    <t>L1891</t>
  </si>
  <si>
    <t>L1892</t>
  </si>
  <si>
    <t>L1893</t>
  </si>
  <si>
    <t>L1894</t>
  </si>
  <si>
    <t>L1895</t>
  </si>
  <si>
    <t>L1896</t>
  </si>
  <si>
    <t>L1897</t>
  </si>
  <si>
    <t>L1898</t>
  </si>
  <si>
    <t>L1899</t>
  </si>
  <si>
    <t>L1900</t>
  </si>
  <si>
    <t>L1901</t>
  </si>
  <si>
    <t>L1902</t>
  </si>
  <si>
    <t>L1903</t>
  </si>
  <si>
    <t>L1904</t>
  </si>
  <si>
    <t>L1905</t>
  </si>
  <si>
    <t>L1906</t>
  </si>
  <si>
    <t>L1907</t>
  </si>
  <si>
    <t>L1908</t>
  </si>
  <si>
    <t>L1909</t>
  </si>
  <si>
    <t>L1910</t>
  </si>
  <si>
    <t>L1911</t>
  </si>
  <si>
    <t>L1912</t>
  </si>
  <si>
    <t>L1913</t>
  </si>
  <si>
    <t>L1914</t>
  </si>
  <si>
    <t>L1915</t>
  </si>
  <si>
    <t>L1916</t>
  </si>
  <si>
    <t>L1917</t>
  </si>
  <si>
    <t>L1918</t>
  </si>
  <si>
    <t>L1919</t>
  </si>
  <si>
    <t>L1920</t>
  </si>
  <si>
    <t>L1921</t>
  </si>
  <si>
    <t>L1922</t>
  </si>
  <si>
    <t>L1923</t>
  </si>
  <si>
    <t>L1924</t>
  </si>
  <si>
    <t>L1925</t>
  </si>
  <si>
    <t>L1926</t>
  </si>
  <si>
    <t>L1927</t>
  </si>
  <si>
    <t>L1928</t>
  </si>
  <si>
    <t>L1929</t>
  </si>
  <si>
    <t>L1930</t>
  </si>
  <si>
    <t>L1931</t>
  </si>
  <si>
    <t>L1932</t>
  </si>
  <si>
    <t>L1933</t>
  </si>
  <si>
    <t>L1934</t>
  </si>
  <si>
    <t>L1935</t>
  </si>
  <si>
    <t>L1936</t>
  </si>
  <si>
    <t>L1937</t>
  </si>
  <si>
    <t>L1938</t>
  </si>
  <si>
    <t>L1939</t>
  </si>
  <si>
    <t>L1940</t>
  </si>
  <si>
    <t>L1941</t>
  </si>
  <si>
    <t>L1942</t>
  </si>
  <si>
    <t>L1943</t>
  </si>
  <si>
    <t>L1944</t>
  </si>
  <si>
    <t>L1945</t>
  </si>
  <si>
    <t>L1946</t>
  </si>
  <si>
    <t>L1947</t>
  </si>
  <si>
    <t>L1948</t>
  </si>
  <si>
    <t>L1949</t>
  </si>
  <si>
    <t>L1950</t>
  </si>
  <si>
    <t>L1951</t>
  </si>
  <si>
    <t>L1952</t>
  </si>
  <si>
    <t>L1953</t>
  </si>
  <si>
    <t>L1954</t>
  </si>
  <si>
    <t>L1955</t>
  </si>
  <si>
    <t>L1956</t>
  </si>
  <si>
    <t>L1957</t>
  </si>
  <si>
    <t>L1958</t>
  </si>
  <si>
    <t>L1959</t>
  </si>
  <si>
    <t>L1960</t>
  </si>
  <si>
    <t>L1961</t>
  </si>
  <si>
    <t>L1962</t>
  </si>
  <si>
    <t>L1963</t>
  </si>
  <si>
    <t>L1964</t>
  </si>
  <si>
    <t>L1965</t>
  </si>
  <si>
    <t>L1966</t>
  </si>
  <si>
    <t>L1967</t>
  </si>
  <si>
    <t>L1968</t>
  </si>
  <si>
    <t>L1969</t>
  </si>
  <si>
    <t>L1970</t>
  </si>
  <si>
    <t>L1971</t>
  </si>
  <si>
    <t>L1972</t>
  </si>
  <si>
    <t>L1973</t>
  </si>
  <si>
    <t>L1974</t>
  </si>
  <si>
    <t>L1975</t>
  </si>
  <si>
    <t>L1976</t>
  </si>
  <si>
    <t>L1977</t>
  </si>
  <si>
    <t>L1978</t>
  </si>
  <si>
    <t>L1979</t>
  </si>
  <si>
    <t>L1980</t>
  </si>
  <si>
    <t>L1981</t>
  </si>
  <si>
    <t>L1982</t>
  </si>
  <si>
    <t>L1983</t>
  </si>
  <si>
    <t>L1984</t>
  </si>
  <si>
    <t>L1985</t>
  </si>
  <si>
    <t>L1986</t>
  </si>
  <si>
    <t>L1987</t>
  </si>
  <si>
    <t>L1988</t>
  </si>
  <si>
    <t>L1989</t>
  </si>
  <si>
    <t>L1990</t>
  </si>
  <si>
    <t>L1991</t>
  </si>
  <si>
    <t>L1992</t>
  </si>
  <si>
    <t>L1993</t>
  </si>
  <si>
    <t>L1994</t>
  </si>
  <si>
    <t>L1995</t>
  </si>
  <si>
    <t>L1996</t>
  </si>
  <si>
    <t>L1997</t>
  </si>
  <si>
    <t>L1998</t>
  </si>
  <si>
    <t>L1999</t>
  </si>
  <si>
    <t>L2000</t>
  </si>
  <si>
    <t>L2001</t>
  </si>
  <si>
    <t>L2002</t>
  </si>
  <si>
    <t>L2003</t>
  </si>
  <si>
    <t>L2004</t>
  </si>
  <si>
    <t>L2005</t>
  </si>
  <si>
    <t>L2006</t>
  </si>
  <si>
    <t>L2007</t>
  </si>
  <si>
    <t>L2008</t>
  </si>
  <si>
    <t>L2009</t>
  </si>
  <si>
    <t>L2010</t>
  </si>
  <si>
    <t>L2011</t>
  </si>
  <si>
    <t>L2012</t>
  </si>
  <si>
    <t>L2013</t>
  </si>
  <si>
    <t>L2014</t>
  </si>
  <si>
    <t>L2015</t>
  </si>
  <si>
    <t>L2016</t>
  </si>
  <si>
    <t>L2017</t>
  </si>
  <si>
    <t>L2018</t>
  </si>
  <si>
    <t>L2019</t>
  </si>
  <si>
    <t>L2020</t>
  </si>
  <si>
    <t>L2021</t>
  </si>
  <si>
    <t>L2022</t>
  </si>
  <si>
    <t>L2023</t>
  </si>
  <si>
    <t>L2024</t>
  </si>
  <si>
    <t>L2025</t>
  </si>
  <si>
    <t>L2026</t>
  </si>
  <si>
    <t>L2027</t>
  </si>
  <si>
    <t>L2028</t>
  </si>
  <si>
    <t>L2029</t>
  </si>
  <si>
    <t>L2030</t>
  </si>
  <si>
    <t>L2031</t>
  </si>
  <si>
    <t>L2032</t>
  </si>
  <si>
    <t>L2033</t>
  </si>
  <si>
    <t>L2034</t>
  </si>
  <si>
    <t>L2035</t>
  </si>
  <si>
    <t>L2036</t>
  </si>
  <si>
    <t>L2037</t>
  </si>
  <si>
    <t>L2038</t>
  </si>
  <si>
    <t>L2039</t>
  </si>
  <si>
    <t>L2040</t>
  </si>
  <si>
    <t>L2041</t>
  </si>
  <si>
    <t>L2042</t>
  </si>
  <si>
    <t>L2043</t>
  </si>
  <si>
    <t>L2044</t>
  </si>
  <si>
    <t>L2045</t>
  </si>
  <si>
    <t>L2046</t>
  </si>
  <si>
    <t>L2047</t>
  </si>
  <si>
    <t>L2048</t>
  </si>
  <si>
    <t>L2049</t>
  </si>
  <si>
    <t>L2050</t>
  </si>
  <si>
    <t>L2051</t>
  </si>
  <si>
    <t>L2052</t>
  </si>
  <si>
    <t>L2053</t>
  </si>
  <si>
    <t>L2054</t>
  </si>
  <si>
    <t>L2055</t>
  </si>
  <si>
    <t>L2056</t>
  </si>
  <si>
    <t>L2057</t>
  </si>
  <si>
    <t>L2058</t>
  </si>
  <si>
    <t>L2059</t>
  </si>
  <si>
    <t>L2060</t>
  </si>
  <si>
    <t>L2061</t>
  </si>
  <si>
    <t>L2062</t>
  </si>
  <si>
    <t>L2063</t>
  </si>
  <si>
    <t>L2064</t>
  </si>
  <si>
    <t>L2065</t>
  </si>
  <si>
    <t>L2066</t>
  </si>
  <si>
    <t>L2067</t>
  </si>
  <si>
    <t>L2068</t>
  </si>
  <si>
    <t>L2069</t>
  </si>
  <si>
    <t>L2070</t>
  </si>
  <si>
    <t>L2071</t>
  </si>
  <si>
    <t>L2072</t>
  </si>
  <si>
    <t>L2073</t>
  </si>
  <si>
    <t>L2074</t>
  </si>
  <si>
    <t>L2075</t>
  </si>
  <si>
    <t>L2076</t>
  </si>
  <si>
    <t>L2077</t>
  </si>
  <si>
    <t>L2078</t>
  </si>
  <si>
    <t>L2079</t>
  </si>
  <si>
    <t>L2080</t>
  </si>
  <si>
    <t>L2081</t>
  </si>
  <si>
    <t>L2082</t>
  </si>
  <si>
    <t>L2083</t>
  </si>
  <si>
    <t>L2084</t>
  </si>
  <si>
    <t>L2085</t>
  </si>
  <si>
    <t>L2086</t>
  </si>
  <si>
    <t>L2087</t>
  </si>
  <si>
    <t>L2088</t>
  </si>
  <si>
    <t>L2089</t>
  </si>
  <si>
    <t>L2090</t>
  </si>
  <si>
    <t>L2091</t>
  </si>
  <si>
    <t>L2092</t>
  </si>
  <si>
    <t>L2093</t>
  </si>
  <si>
    <t>L2094</t>
  </si>
  <si>
    <t>L2095</t>
  </si>
  <si>
    <t>L2096</t>
  </si>
  <si>
    <t>L2097</t>
  </si>
  <si>
    <t>L2098</t>
  </si>
  <si>
    <t>L2099</t>
  </si>
  <si>
    <t>L2100</t>
  </si>
  <si>
    <t>L2101</t>
  </si>
  <si>
    <t>L2102</t>
  </si>
  <si>
    <t>L2103</t>
  </si>
  <si>
    <t>L2104</t>
  </si>
  <si>
    <t>L2105</t>
  </si>
  <si>
    <t>L2106</t>
  </si>
  <si>
    <t>L2107</t>
  </si>
  <si>
    <t>L2108</t>
  </si>
  <si>
    <t>L2109</t>
  </si>
  <si>
    <t>L2110</t>
  </si>
  <si>
    <t>L2111</t>
  </si>
  <si>
    <t>L2112</t>
  </si>
  <si>
    <t>L2113</t>
  </si>
  <si>
    <t>L2114</t>
  </si>
  <si>
    <t>L2115</t>
  </si>
  <si>
    <t>L2116</t>
  </si>
  <si>
    <t>L2117</t>
  </si>
  <si>
    <t>L2118</t>
  </si>
  <si>
    <t>L2119</t>
  </si>
  <si>
    <t>L2120</t>
  </si>
  <si>
    <t>L2121</t>
  </si>
  <si>
    <t>L2122</t>
  </si>
  <si>
    <t>L2123</t>
  </si>
  <si>
    <t>L2124</t>
  </si>
  <si>
    <t>L2125</t>
  </si>
  <si>
    <t>L2126</t>
  </si>
  <si>
    <t>L2127</t>
  </si>
  <si>
    <t>L2128</t>
  </si>
  <si>
    <t>L2129</t>
  </si>
  <si>
    <t>L2130</t>
  </si>
  <si>
    <t>L2131</t>
  </si>
  <si>
    <t>L2132</t>
  </si>
  <si>
    <t>L2133</t>
  </si>
  <si>
    <t>L2134</t>
  </si>
  <si>
    <t>L2135</t>
  </si>
  <si>
    <t>L2136</t>
  </si>
  <si>
    <t>L2137</t>
  </si>
  <si>
    <t>L2138</t>
  </si>
  <si>
    <t>L2139</t>
  </si>
  <si>
    <t>L2140</t>
  </si>
  <si>
    <t>L2141</t>
  </si>
  <si>
    <t>L2142</t>
  </si>
  <si>
    <t>L2143</t>
  </si>
  <si>
    <t>L2144</t>
  </si>
  <si>
    <t>L2145</t>
  </si>
  <si>
    <t>L2146</t>
  </si>
  <si>
    <t>L2147</t>
  </si>
  <si>
    <t>L2148</t>
  </si>
  <si>
    <t>L2149</t>
  </si>
  <si>
    <t>L2150</t>
  </si>
  <si>
    <t>L2151</t>
  </si>
  <si>
    <t>L2152</t>
  </si>
  <si>
    <t>L2153</t>
  </si>
  <si>
    <t>L2154</t>
  </si>
  <si>
    <t>L2155</t>
  </si>
  <si>
    <t>L2156</t>
  </si>
  <si>
    <t>L2157</t>
  </si>
  <si>
    <t>L2158</t>
  </si>
  <si>
    <t>L2159</t>
  </si>
  <si>
    <t>L2160</t>
  </si>
  <si>
    <t>L2161</t>
  </si>
  <si>
    <t>L2162</t>
  </si>
  <si>
    <t>L2163</t>
  </si>
  <si>
    <t>L2164</t>
  </si>
  <si>
    <t>L2165</t>
  </si>
  <si>
    <t>L2166</t>
  </si>
  <si>
    <t>L2167</t>
  </si>
  <si>
    <t>L2168</t>
  </si>
  <si>
    <t>L2169</t>
  </si>
  <si>
    <t>L2170</t>
  </si>
  <si>
    <t>L2171</t>
  </si>
  <si>
    <t>L2172</t>
  </si>
  <si>
    <t>L2173</t>
  </si>
  <si>
    <t>L2174</t>
  </si>
  <si>
    <t>L2175</t>
  </si>
  <si>
    <t>L2176</t>
  </si>
  <si>
    <t>L2177</t>
  </si>
  <si>
    <t>L2178</t>
  </si>
  <si>
    <t>L2179</t>
  </si>
  <si>
    <t>L2180</t>
  </si>
  <si>
    <t>L2181</t>
  </si>
  <si>
    <t>L2182</t>
  </si>
  <si>
    <t>L2183</t>
  </si>
  <si>
    <t>L2184</t>
  </si>
  <si>
    <t>L2185</t>
  </si>
  <si>
    <t>L2186</t>
  </si>
  <si>
    <t>L2187</t>
  </si>
  <si>
    <t>L2188</t>
  </si>
  <si>
    <t>L2189</t>
  </si>
  <si>
    <t>L2190</t>
  </si>
  <si>
    <t>L2191</t>
  </si>
  <si>
    <t>L2192</t>
  </si>
  <si>
    <t>L2193</t>
  </si>
  <si>
    <t>L2194</t>
  </si>
  <si>
    <t>L2195</t>
  </si>
  <si>
    <t>L2196</t>
  </si>
  <si>
    <t>L2197</t>
  </si>
  <si>
    <t>L2198</t>
  </si>
  <si>
    <t>L2199</t>
  </si>
  <si>
    <t>L2200</t>
  </si>
  <si>
    <t>L2201</t>
  </si>
  <si>
    <t>L2202</t>
  </si>
  <si>
    <t>L2203</t>
  </si>
  <si>
    <t>L2204</t>
  </si>
  <si>
    <t>L2205</t>
  </si>
  <si>
    <t>L2206</t>
  </si>
  <si>
    <t>L2207</t>
  </si>
  <si>
    <t>L2208</t>
  </si>
  <si>
    <t>L2209</t>
  </si>
  <si>
    <t>L2210</t>
  </si>
  <si>
    <t>L2211</t>
  </si>
  <si>
    <t>L2212</t>
  </si>
  <si>
    <t>L2213</t>
  </si>
  <si>
    <t>L2214</t>
  </si>
  <si>
    <t>L2215</t>
  </si>
  <si>
    <t>L2216</t>
  </si>
  <si>
    <t>L2217</t>
  </si>
  <si>
    <t>L2218</t>
  </si>
  <si>
    <t>L2219</t>
  </si>
  <si>
    <t>L2220</t>
  </si>
  <si>
    <t>L2221</t>
  </si>
  <si>
    <t>L2222</t>
  </si>
  <si>
    <t>L2223</t>
  </si>
  <si>
    <t>L2224</t>
  </si>
  <si>
    <t>L2225</t>
  </si>
  <si>
    <t>L2226</t>
  </si>
  <si>
    <t>L2227</t>
  </si>
  <si>
    <t>L2228</t>
  </si>
  <si>
    <t>L2229</t>
  </si>
  <si>
    <t>L2230</t>
  </si>
  <si>
    <t>L2231</t>
  </si>
  <si>
    <t>L2232</t>
  </si>
  <si>
    <t>L2233</t>
  </si>
  <si>
    <t>L2234</t>
  </si>
  <si>
    <t>L2235</t>
  </si>
  <si>
    <t>L2236</t>
  </si>
  <si>
    <t>L2237</t>
  </si>
  <si>
    <t>L2238</t>
  </si>
  <si>
    <t>L2239</t>
  </si>
  <si>
    <t>L2240</t>
  </si>
  <si>
    <t>L2241</t>
  </si>
  <si>
    <t>L2242</t>
  </si>
  <si>
    <t>L2243</t>
  </si>
  <si>
    <t>L2244</t>
  </si>
  <si>
    <t>L2245</t>
  </si>
  <si>
    <t>L2246</t>
  </si>
  <si>
    <t>L2247</t>
  </si>
  <si>
    <t>L2248</t>
  </si>
  <si>
    <t>L2249</t>
  </si>
  <si>
    <t>L2250</t>
  </si>
  <si>
    <t>L2251</t>
  </si>
  <si>
    <t>L2252</t>
  </si>
  <si>
    <t>L2253</t>
  </si>
  <si>
    <t>L2254</t>
  </si>
  <si>
    <t>L2255</t>
  </si>
  <si>
    <t>L2256</t>
  </si>
  <si>
    <t>L2257</t>
  </si>
  <si>
    <t>L2258</t>
  </si>
  <si>
    <t>L2259</t>
  </si>
  <si>
    <t>L2260</t>
  </si>
  <si>
    <t>L2261</t>
  </si>
  <si>
    <t>L2262</t>
  </si>
  <si>
    <t>L2263</t>
  </si>
  <si>
    <t>L2264</t>
  </si>
  <si>
    <t>L2265</t>
  </si>
  <si>
    <t>L2266</t>
  </si>
  <si>
    <t>L2267</t>
  </si>
  <si>
    <t>L2268</t>
  </si>
  <si>
    <t>L2269</t>
  </si>
  <si>
    <t>L2270</t>
  </si>
  <si>
    <t>L2271</t>
  </si>
  <si>
    <t>L2272</t>
  </si>
  <si>
    <t>L2273</t>
  </si>
  <si>
    <t>L2274</t>
  </si>
  <si>
    <t>L2275</t>
  </si>
  <si>
    <t>L2276</t>
  </si>
  <si>
    <t>L2277</t>
  </si>
  <si>
    <t>L2278</t>
  </si>
  <si>
    <t>L2279</t>
  </si>
  <si>
    <t>L2280</t>
  </si>
  <si>
    <t>L2281</t>
  </si>
  <si>
    <t>L2282</t>
  </si>
  <si>
    <t>L2283</t>
  </si>
  <si>
    <t>L2284</t>
  </si>
  <si>
    <t>L2285</t>
  </si>
  <si>
    <t>L2286</t>
  </si>
  <si>
    <t>L2287</t>
  </si>
  <si>
    <t>L2288</t>
  </si>
  <si>
    <t>L2289</t>
  </si>
  <si>
    <t>L2290</t>
  </si>
  <si>
    <t>L2291</t>
  </si>
  <si>
    <t>L2292</t>
  </si>
  <si>
    <t>L2293</t>
  </si>
  <si>
    <t>L2294</t>
  </si>
  <si>
    <t>L2295</t>
  </si>
  <si>
    <t>L2296</t>
  </si>
  <si>
    <t>L2297</t>
  </si>
  <si>
    <t>L2298</t>
  </si>
  <si>
    <t>L2299</t>
  </si>
  <si>
    <t>L2300</t>
  </si>
  <si>
    <t>L2301</t>
  </si>
  <si>
    <t>L2302</t>
  </si>
  <si>
    <t>L2303</t>
  </si>
  <si>
    <t>L2304</t>
  </si>
  <si>
    <t>L2305</t>
  </si>
  <si>
    <t>L2306</t>
  </si>
  <si>
    <t>L2307</t>
  </si>
  <si>
    <t>L2308</t>
  </si>
  <si>
    <t>L2309</t>
  </si>
  <si>
    <t>L2310</t>
  </si>
  <si>
    <t>L2311</t>
  </si>
  <si>
    <t>L2312</t>
  </si>
  <si>
    <t>L2313</t>
  </si>
  <si>
    <t>L2314</t>
  </si>
  <si>
    <t>L2315</t>
  </si>
  <si>
    <t>L2316</t>
  </si>
  <si>
    <t>L2317</t>
  </si>
  <si>
    <t>L2318</t>
  </si>
  <si>
    <t>L2319</t>
  </si>
  <si>
    <t>L2320</t>
  </si>
  <si>
    <t>L2321</t>
  </si>
  <si>
    <t>L2322</t>
  </si>
  <si>
    <t>L2323</t>
  </si>
  <si>
    <t>L2324</t>
  </si>
  <si>
    <t>L2325</t>
  </si>
  <si>
    <t>L2326</t>
  </si>
  <si>
    <t>L2327</t>
  </si>
  <si>
    <t>L2328</t>
  </si>
  <si>
    <t>L2329</t>
  </si>
  <si>
    <t>L2330</t>
  </si>
  <si>
    <t>L2331</t>
  </si>
  <si>
    <t>L2332</t>
  </si>
  <si>
    <t>L2333</t>
  </si>
  <si>
    <t>L2334</t>
  </si>
  <si>
    <t>L2335</t>
  </si>
  <si>
    <t>L2336</t>
  </si>
  <si>
    <t>L2337</t>
  </si>
  <si>
    <t>L2338</t>
  </si>
  <si>
    <t>L2339</t>
  </si>
  <si>
    <t>L2340</t>
  </si>
  <si>
    <t>L2341</t>
  </si>
  <si>
    <t>L2342</t>
  </si>
  <si>
    <t>L2343</t>
  </si>
  <si>
    <t>L2344</t>
  </si>
  <si>
    <t>L2345</t>
  </si>
  <si>
    <t>L2346</t>
  </si>
  <si>
    <t>L2347</t>
  </si>
  <si>
    <t>L2348</t>
  </si>
  <si>
    <t>L2349</t>
  </si>
  <si>
    <t>L2350</t>
  </si>
  <si>
    <t>L2351</t>
  </si>
  <si>
    <t>L2352</t>
  </si>
  <si>
    <t>L2353</t>
  </si>
  <si>
    <t>L2354</t>
  </si>
  <si>
    <t>L2355</t>
  </si>
  <si>
    <t>L2356</t>
  </si>
  <si>
    <t>L2357</t>
  </si>
  <si>
    <t>L2358</t>
  </si>
  <si>
    <t>L2359</t>
  </si>
  <si>
    <t>L2360</t>
  </si>
  <si>
    <t>L2361</t>
  </si>
  <si>
    <t>L2362</t>
  </si>
  <si>
    <t>L2363</t>
  </si>
  <si>
    <t>L2364</t>
  </si>
  <si>
    <t>L2365</t>
  </si>
  <si>
    <t>L2366</t>
  </si>
  <si>
    <t>L2367</t>
  </si>
  <si>
    <t>L2368</t>
  </si>
  <si>
    <t>L2369</t>
  </si>
  <si>
    <t>L2370</t>
  </si>
  <si>
    <t>L2371</t>
  </si>
  <si>
    <t>L2372</t>
  </si>
  <si>
    <t>L2373</t>
  </si>
  <si>
    <t>L2374</t>
  </si>
  <si>
    <t>L2375</t>
  </si>
  <si>
    <t>L2376</t>
  </si>
  <si>
    <t>L2377</t>
  </si>
  <si>
    <t>L2378</t>
  </si>
  <si>
    <t>L2379</t>
  </si>
  <si>
    <t>L2380</t>
  </si>
  <si>
    <t>L2381</t>
  </si>
  <si>
    <t>L2382</t>
  </si>
  <si>
    <t>L2383</t>
  </si>
  <si>
    <t>L2384</t>
  </si>
  <si>
    <t>L2385</t>
  </si>
  <si>
    <t>L2386</t>
  </si>
  <si>
    <t>L2387</t>
  </si>
  <si>
    <t>L2388</t>
  </si>
  <si>
    <t>L2389</t>
  </si>
  <si>
    <t>L2390</t>
  </si>
  <si>
    <t>L2391</t>
  </si>
  <si>
    <t>L2392</t>
  </si>
  <si>
    <t>L2393</t>
  </si>
  <si>
    <t>L2394</t>
  </si>
  <si>
    <t>L2395</t>
  </si>
  <si>
    <t>L2396</t>
  </si>
  <si>
    <t>L2397</t>
  </si>
  <si>
    <t>L2398</t>
  </si>
  <si>
    <t>L2399</t>
  </si>
  <si>
    <t>L2400</t>
  </si>
  <si>
    <t>L2401</t>
  </si>
  <si>
    <t>L2402</t>
  </si>
  <si>
    <t>L2403</t>
  </si>
  <si>
    <t>L2404</t>
  </si>
  <si>
    <t>L2405</t>
  </si>
  <si>
    <t>L2406</t>
  </si>
  <si>
    <t>L2407</t>
  </si>
  <si>
    <t>L2408</t>
  </si>
  <si>
    <t>L2409</t>
  </si>
  <si>
    <t>L2410</t>
  </si>
  <si>
    <t>L2411</t>
  </si>
  <si>
    <t>L2412</t>
  </si>
  <si>
    <t>L2413</t>
  </si>
  <si>
    <t>L2414</t>
  </si>
  <si>
    <t>L2415</t>
  </si>
  <si>
    <t>L2416</t>
  </si>
  <si>
    <t>L2417</t>
  </si>
  <si>
    <t>L2418</t>
  </si>
  <si>
    <t>L2419</t>
  </si>
  <si>
    <t>L2420</t>
  </si>
  <si>
    <t>L2421</t>
  </si>
  <si>
    <t>L2422</t>
  </si>
  <si>
    <t>L2423</t>
  </si>
  <si>
    <t>L2424</t>
  </si>
  <si>
    <t>L2425</t>
  </si>
  <si>
    <t>L2426</t>
  </si>
  <si>
    <t>L2427</t>
  </si>
  <si>
    <t>L2428</t>
  </si>
  <si>
    <t>L2429</t>
  </si>
  <si>
    <t>L2430</t>
  </si>
  <si>
    <t>L2431</t>
  </si>
  <si>
    <t>L2432</t>
  </si>
  <si>
    <t>L2433</t>
  </si>
  <si>
    <t>L2434</t>
  </si>
  <si>
    <t>L2435</t>
  </si>
  <si>
    <t>L2436</t>
  </si>
  <si>
    <t>L2437</t>
  </si>
  <si>
    <t>L2438</t>
  </si>
  <si>
    <t>L2439</t>
  </si>
  <si>
    <t>L2440</t>
  </si>
  <si>
    <t>L2441</t>
  </si>
  <si>
    <t>L2442</t>
  </si>
  <si>
    <t>L2443</t>
  </si>
  <si>
    <t>L2444</t>
  </si>
  <si>
    <t>L2445</t>
  </si>
  <si>
    <t>L2446</t>
  </si>
  <si>
    <t>L2447</t>
  </si>
  <si>
    <t>L2448</t>
  </si>
  <si>
    <t>L2449</t>
  </si>
  <si>
    <t>L2450</t>
  </si>
  <si>
    <t>L2451</t>
  </si>
  <si>
    <t>L2452</t>
  </si>
  <si>
    <t>L2453</t>
  </si>
  <si>
    <t>L2454</t>
  </si>
  <si>
    <t>L2455</t>
  </si>
  <si>
    <t>L2456</t>
  </si>
  <si>
    <t>L2457</t>
  </si>
  <si>
    <t>L2458</t>
  </si>
  <si>
    <t>L2459</t>
  </si>
  <si>
    <t>L2460</t>
  </si>
  <si>
    <t>L2461</t>
  </si>
  <si>
    <t>L2462</t>
  </si>
  <si>
    <t>L2463</t>
  </si>
  <si>
    <t>L2464</t>
  </si>
  <si>
    <t>L2465</t>
  </si>
  <si>
    <t>L2466</t>
  </si>
  <si>
    <t>L2467</t>
  </si>
  <si>
    <t>L2468</t>
  </si>
  <si>
    <t>L2469</t>
  </si>
  <si>
    <t>L2470</t>
  </si>
  <si>
    <t>L2471</t>
  </si>
  <si>
    <t>L2472</t>
  </si>
  <si>
    <t>L2473</t>
  </si>
  <si>
    <t>L2474</t>
  </si>
  <si>
    <t>L2475</t>
  </si>
  <si>
    <t>L2476</t>
  </si>
  <si>
    <t>L2477</t>
  </si>
  <si>
    <t>L2478</t>
  </si>
  <si>
    <t>L2479</t>
  </si>
  <si>
    <t>L2480</t>
  </si>
  <si>
    <t>L2481</t>
  </si>
  <si>
    <t>L2482</t>
  </si>
  <si>
    <t>L2483</t>
  </si>
  <si>
    <t>L2484</t>
  </si>
  <si>
    <t>L2485</t>
  </si>
  <si>
    <t>L2486</t>
  </si>
  <si>
    <t>L2487</t>
  </si>
  <si>
    <t>L2488</t>
  </si>
  <si>
    <t>L2489</t>
  </si>
  <si>
    <t>L2490</t>
  </si>
  <si>
    <t>L2491</t>
  </si>
  <si>
    <t>L2492</t>
  </si>
  <si>
    <t>L2493</t>
  </si>
  <si>
    <t>L2494</t>
  </si>
  <si>
    <t>L2495</t>
  </si>
  <si>
    <t>L2496</t>
  </si>
  <si>
    <t>L2497</t>
  </si>
  <si>
    <t>L2498</t>
  </si>
  <si>
    <t>L2499</t>
  </si>
  <si>
    <t>L2500</t>
  </si>
  <si>
    <t>L2501</t>
  </si>
  <si>
    <t>L2502</t>
  </si>
  <si>
    <t>L2503</t>
  </si>
  <si>
    <t>L2504</t>
  </si>
  <si>
    <t>L2505</t>
  </si>
  <si>
    <t>L2506</t>
  </si>
  <si>
    <t>L2507</t>
  </si>
  <si>
    <t>L2508</t>
  </si>
  <si>
    <t>L2509</t>
  </si>
  <si>
    <t>L2510</t>
  </si>
  <si>
    <t>L2511</t>
  </si>
  <si>
    <t>L2512</t>
  </si>
  <si>
    <t>L2513</t>
  </si>
  <si>
    <t>L2514</t>
  </si>
  <si>
    <t>L2515</t>
  </si>
  <si>
    <t>L2516</t>
  </si>
  <si>
    <t>L2517</t>
  </si>
  <si>
    <t>L2518</t>
  </si>
  <si>
    <t>L2519</t>
  </si>
  <si>
    <t>L2520</t>
  </si>
  <si>
    <t>L2521</t>
  </si>
  <si>
    <t>L2522</t>
  </si>
  <si>
    <t>L2523</t>
  </si>
  <si>
    <t>L2524</t>
  </si>
  <si>
    <t>L2525</t>
  </si>
  <si>
    <t>L2526</t>
  </si>
  <si>
    <t>L2527</t>
  </si>
  <si>
    <t>L2528</t>
  </si>
  <si>
    <t>L2529</t>
  </si>
  <si>
    <t>L2530</t>
  </si>
  <si>
    <t>L2531</t>
  </si>
  <si>
    <t>L2532</t>
  </si>
  <si>
    <t>L2533</t>
  </si>
  <si>
    <t>L2534</t>
  </si>
  <si>
    <t>L2535</t>
  </si>
  <si>
    <t>L2536</t>
  </si>
  <si>
    <t>L2537</t>
  </si>
  <si>
    <t>L2538</t>
  </si>
  <si>
    <t>L2539</t>
  </si>
  <si>
    <t>L2540</t>
  </si>
  <si>
    <t>L2541</t>
  </si>
  <si>
    <t>L2542</t>
  </si>
  <si>
    <t>L2543</t>
  </si>
  <si>
    <t>L2544</t>
  </si>
  <si>
    <t>L2545</t>
  </si>
  <si>
    <t>L2546</t>
  </si>
  <si>
    <t>L2547</t>
  </si>
  <si>
    <t>L2548</t>
  </si>
  <si>
    <t>L2549</t>
  </si>
  <si>
    <t>L2550</t>
  </si>
  <si>
    <t>L2551</t>
  </si>
  <si>
    <t>L2552</t>
  </si>
  <si>
    <t>L2553</t>
  </si>
  <si>
    <t>L2554</t>
  </si>
  <si>
    <t>L2555</t>
  </si>
  <si>
    <t>L2556</t>
  </si>
  <si>
    <t>L2557</t>
  </si>
  <si>
    <t>L2558</t>
  </si>
  <si>
    <t>L2559</t>
  </si>
  <si>
    <t>L2560</t>
  </si>
  <si>
    <t>L2561</t>
  </si>
  <si>
    <t>L2562</t>
  </si>
  <si>
    <t>L2563</t>
  </si>
  <si>
    <t>L2564</t>
  </si>
  <si>
    <t>L2565</t>
  </si>
  <si>
    <t>L2566</t>
  </si>
  <si>
    <t>L2567</t>
  </si>
  <si>
    <t>L2568</t>
  </si>
  <si>
    <t>L2569</t>
  </si>
  <si>
    <t>L2570</t>
  </si>
  <si>
    <t>L2571</t>
  </si>
  <si>
    <t>L2572</t>
  </si>
  <si>
    <t>L2573</t>
  </si>
  <si>
    <t>L2574</t>
  </si>
  <si>
    <t>L2575</t>
  </si>
  <si>
    <t>L2576</t>
  </si>
  <si>
    <t>L2577</t>
  </si>
  <si>
    <t>L2578</t>
  </si>
  <si>
    <t>L2579</t>
  </si>
  <si>
    <t>L2580</t>
  </si>
  <si>
    <t>L2581</t>
  </si>
  <si>
    <t>L2582</t>
  </si>
  <si>
    <t>L2583</t>
  </si>
  <si>
    <t>L2584</t>
  </si>
  <si>
    <t>L2585</t>
  </si>
  <si>
    <t>L2586</t>
  </si>
  <si>
    <t>L2587</t>
  </si>
  <si>
    <t>L2588</t>
  </si>
  <si>
    <t>L2589</t>
  </si>
  <si>
    <t>L2590</t>
  </si>
  <si>
    <t>L2591</t>
  </si>
  <si>
    <t>L2592</t>
  </si>
  <si>
    <t>L2593</t>
  </si>
  <si>
    <t>L2594</t>
  </si>
  <si>
    <t>L2595</t>
  </si>
  <si>
    <t>L2596</t>
  </si>
  <si>
    <t>L2597</t>
  </si>
  <si>
    <t>L2598</t>
  </si>
  <si>
    <t>L2599</t>
  </si>
  <si>
    <t>L2600</t>
  </si>
  <si>
    <t>L2601</t>
  </si>
  <si>
    <t>L2602</t>
  </si>
  <si>
    <t>L2603</t>
  </si>
  <si>
    <t>L2604</t>
  </si>
  <si>
    <t>L2605</t>
  </si>
  <si>
    <t>L2606</t>
  </si>
  <si>
    <t>L2607</t>
  </si>
  <si>
    <t>L2608</t>
  </si>
  <si>
    <t>L2609</t>
  </si>
  <si>
    <t>L2610</t>
  </si>
  <si>
    <t>L2611</t>
  </si>
  <si>
    <t>L2612</t>
  </si>
  <si>
    <t>L2613</t>
  </si>
  <si>
    <t>L2614</t>
  </si>
  <si>
    <t>L2615</t>
  </si>
  <si>
    <t>L2616</t>
  </si>
  <si>
    <t>L2617</t>
  </si>
  <si>
    <t>L2618</t>
  </si>
  <si>
    <t>L2619</t>
  </si>
  <si>
    <t>L2620</t>
  </si>
  <si>
    <t>L2621</t>
  </si>
  <si>
    <t>L2622</t>
  </si>
  <si>
    <t>L2623</t>
  </si>
  <si>
    <t>L2624</t>
  </si>
  <si>
    <t>L2625</t>
  </si>
  <si>
    <t>L2626</t>
  </si>
  <si>
    <t>L2627</t>
  </si>
  <si>
    <t>L2628</t>
  </si>
  <si>
    <t>L2629</t>
  </si>
  <si>
    <t>L2630</t>
  </si>
  <si>
    <t>L2631</t>
  </si>
  <si>
    <t>L2632</t>
  </si>
  <si>
    <t>L2633</t>
  </si>
  <si>
    <t>L2634</t>
  </si>
  <si>
    <t>L2635</t>
  </si>
  <si>
    <t>L2636</t>
  </si>
  <si>
    <t>L2637</t>
  </si>
  <si>
    <t>L2638</t>
  </si>
  <si>
    <t>L2639</t>
  </si>
  <si>
    <t>L2640</t>
  </si>
  <si>
    <t>L2641</t>
  </si>
  <si>
    <t>L2642</t>
  </si>
  <si>
    <t>L2643</t>
  </si>
  <si>
    <t>L2644</t>
  </si>
  <si>
    <t>L2645</t>
  </si>
  <si>
    <t>L2646</t>
  </si>
  <si>
    <t>L2647</t>
  </si>
  <si>
    <t>L2648</t>
  </si>
  <si>
    <t>L2649</t>
  </si>
  <si>
    <t>L2650</t>
  </si>
  <si>
    <t>L2651</t>
  </si>
  <si>
    <t>L2652</t>
  </si>
  <si>
    <t>L2653</t>
  </si>
  <si>
    <t>L2654</t>
  </si>
  <si>
    <t>L2655</t>
  </si>
  <si>
    <t>L2656</t>
  </si>
  <si>
    <t>L2657</t>
  </si>
  <si>
    <t>L2658</t>
  </si>
  <si>
    <t>L2659</t>
  </si>
  <si>
    <t>L2660</t>
  </si>
  <si>
    <t>L2661</t>
  </si>
  <si>
    <t>L2662</t>
  </si>
  <si>
    <t>L2663</t>
  </si>
  <si>
    <t>L2664</t>
  </si>
  <si>
    <t>L2665</t>
  </si>
  <si>
    <t>L2666</t>
  </si>
  <si>
    <t>L2670</t>
  </si>
  <si>
    <t>L2671</t>
  </si>
  <si>
    <t>L2672</t>
  </si>
  <si>
    <t>L2673</t>
  </si>
  <si>
    <t>L2674</t>
  </si>
  <si>
    <t>L2675</t>
  </si>
  <si>
    <t>L2676</t>
  </si>
  <si>
    <t>L2677</t>
  </si>
  <si>
    <t>L2678</t>
  </si>
  <si>
    <t>L2679</t>
  </si>
  <si>
    <t>L2680</t>
  </si>
  <si>
    <t>L2681</t>
  </si>
  <si>
    <t>L2682</t>
  </si>
  <si>
    <t>L2683</t>
  </si>
  <si>
    <t>L2684</t>
  </si>
  <si>
    <t>L2685</t>
  </si>
  <si>
    <t>L2687</t>
  </si>
  <si>
    <t>L2688</t>
  </si>
  <si>
    <t>L2689</t>
  </si>
  <si>
    <t>L2690</t>
  </si>
  <si>
    <t>L2691</t>
  </si>
  <si>
    <t>L2692</t>
  </si>
  <si>
    <t>L2693</t>
  </si>
  <si>
    <t>L2694</t>
  </si>
  <si>
    <t>L2695</t>
  </si>
  <si>
    <t>L2696</t>
  </si>
  <si>
    <t>L2697</t>
  </si>
  <si>
    <t>L2698</t>
  </si>
  <si>
    <t>L2699</t>
  </si>
  <si>
    <t>L2700</t>
  </si>
  <si>
    <t>L2701</t>
  </si>
  <si>
    <t>L2702</t>
  </si>
  <si>
    <t>L2703</t>
  </si>
  <si>
    <t>L2704</t>
  </si>
  <si>
    <t>L2705</t>
  </si>
  <si>
    <t>L2706</t>
  </si>
  <si>
    <t>L2707</t>
  </si>
  <si>
    <t>L2708</t>
  </si>
  <si>
    <t>L2709</t>
  </si>
  <si>
    <t>L2710</t>
  </si>
  <si>
    <t>L2711</t>
  </si>
  <si>
    <t>L2712</t>
  </si>
  <si>
    <t>L2713</t>
  </si>
  <si>
    <t>L2714</t>
  </si>
  <si>
    <t>L2715</t>
  </si>
  <si>
    <t>L2716</t>
  </si>
  <si>
    <t>L2717</t>
  </si>
  <si>
    <t>L2718</t>
  </si>
  <si>
    <t>L2719</t>
  </si>
  <si>
    <t>L2720</t>
  </si>
  <si>
    <t>L2721</t>
  </si>
  <si>
    <t>L2722</t>
  </si>
  <si>
    <t>L2723</t>
  </si>
  <si>
    <t>L2724</t>
  </si>
  <si>
    <t>L2725</t>
  </si>
  <si>
    <t>L2726</t>
  </si>
  <si>
    <t>L2727</t>
  </si>
  <si>
    <t>L2728</t>
  </si>
  <si>
    <t>L2729</t>
  </si>
  <si>
    <t>L2730</t>
  </si>
  <si>
    <t>L2731</t>
  </si>
  <si>
    <t>L2732</t>
  </si>
  <si>
    <t>L2733</t>
  </si>
  <si>
    <t>L2734</t>
  </si>
  <si>
    <t>L2735</t>
  </si>
  <si>
    <t>L2736</t>
  </si>
  <si>
    <t>L2737</t>
  </si>
  <si>
    <t>L2738</t>
  </si>
  <si>
    <t>L2739</t>
  </si>
  <si>
    <t>L2740</t>
  </si>
  <si>
    <t>L2741</t>
  </si>
  <si>
    <t>L2742</t>
  </si>
  <si>
    <t>L2743</t>
  </si>
  <si>
    <t>L2744</t>
  </si>
  <si>
    <t>L2745</t>
  </si>
  <si>
    <t>L2746</t>
  </si>
  <si>
    <t>L2747</t>
  </si>
  <si>
    <t>L2748</t>
  </si>
  <si>
    <t>L2749</t>
  </si>
  <si>
    <t>L2750</t>
  </si>
  <si>
    <t>L2751</t>
  </si>
  <si>
    <t>L2752</t>
  </si>
  <si>
    <t>L2753</t>
  </si>
  <si>
    <t>L2754</t>
  </si>
  <si>
    <t>L2755</t>
  </si>
  <si>
    <t>L2756</t>
  </si>
  <si>
    <t>L2757</t>
  </si>
  <si>
    <t>L2758</t>
  </si>
  <si>
    <t>L2759</t>
  </si>
  <si>
    <t>L2760</t>
  </si>
  <si>
    <t>L2761</t>
  </si>
  <si>
    <t>L2762</t>
  </si>
  <si>
    <t>L2763</t>
  </si>
  <si>
    <t>L2764</t>
  </si>
  <si>
    <t>L2765</t>
  </si>
  <si>
    <t>L2766</t>
  </si>
  <si>
    <t>L2767</t>
  </si>
  <si>
    <t>L2768</t>
  </si>
  <si>
    <t>L2769</t>
  </si>
  <si>
    <t>L2770</t>
  </si>
  <si>
    <t>L2771</t>
  </si>
  <si>
    <t>L2772</t>
  </si>
  <si>
    <t>L2773</t>
  </si>
  <si>
    <t>L2774</t>
  </si>
  <si>
    <t>L2775</t>
  </si>
  <si>
    <t>L2776</t>
  </si>
  <si>
    <t>L2777</t>
  </si>
  <si>
    <t>L2778</t>
  </si>
  <si>
    <t>L2779</t>
  </si>
  <si>
    <t>L2780</t>
  </si>
  <si>
    <t>L2781</t>
  </si>
  <si>
    <t>L2782</t>
  </si>
  <si>
    <t>L2783</t>
  </si>
  <si>
    <t>L2784</t>
  </si>
  <si>
    <t>L2785</t>
  </si>
  <si>
    <t>L2786</t>
  </si>
  <si>
    <t>L2787</t>
  </si>
  <si>
    <t>L2788</t>
  </si>
  <si>
    <t>L2789</t>
  </si>
  <si>
    <t>L2790</t>
  </si>
  <si>
    <t>L2791</t>
  </si>
  <si>
    <t>L2792</t>
  </si>
  <si>
    <t>L2793</t>
  </si>
  <si>
    <t>L2794</t>
  </si>
  <si>
    <t>L2795</t>
  </si>
  <si>
    <t>L2796</t>
  </si>
  <si>
    <t>L2797</t>
  </si>
  <si>
    <t>L2798</t>
  </si>
  <si>
    <t>L2799</t>
  </si>
  <si>
    <t>L2800</t>
  </si>
  <si>
    <t>L2801</t>
  </si>
  <si>
    <t>L2802</t>
  </si>
  <si>
    <t>L2803</t>
  </si>
  <si>
    <t>L2804</t>
  </si>
  <si>
    <t>L2805</t>
  </si>
  <si>
    <t>L2806</t>
  </si>
  <si>
    <t>L2807</t>
  </si>
  <si>
    <t>L2808</t>
  </si>
  <si>
    <t>L2809</t>
  </si>
  <si>
    <t>L2810</t>
  </si>
  <si>
    <t>L2811</t>
  </si>
  <si>
    <t>L2812</t>
  </si>
  <si>
    <t>L2813</t>
  </si>
  <si>
    <t>L2814</t>
  </si>
  <si>
    <t>L2815</t>
  </si>
  <si>
    <t>L2816</t>
  </si>
  <si>
    <t>L2817</t>
  </si>
  <si>
    <t>L2818</t>
  </si>
  <si>
    <t>L2819</t>
  </si>
  <si>
    <t>L2820</t>
  </si>
  <si>
    <t>L2821</t>
  </si>
  <si>
    <t>L2822</t>
  </si>
  <si>
    <t>L2823</t>
  </si>
  <si>
    <t>L2824</t>
  </si>
  <si>
    <t>L2825</t>
  </si>
  <si>
    <t>L2826</t>
  </si>
  <si>
    <t>L2827</t>
  </si>
  <si>
    <t>L2828</t>
  </si>
  <si>
    <t>L2829</t>
  </si>
  <si>
    <t>L2830</t>
  </si>
  <si>
    <t>L2831</t>
  </si>
  <si>
    <t>L2832</t>
  </si>
  <si>
    <t>L2833</t>
  </si>
  <si>
    <t>L2834</t>
  </si>
  <si>
    <t>L2835</t>
  </si>
  <si>
    <t>L2836</t>
  </si>
  <si>
    <t>L2837</t>
  </si>
  <si>
    <t>L2838</t>
  </si>
  <si>
    <t>L2841</t>
  </si>
  <si>
    <t>L2845</t>
  </si>
  <si>
    <t>L2846</t>
  </si>
  <si>
    <t>L2847</t>
  </si>
  <si>
    <t>L2848</t>
  </si>
  <si>
    <t>L2849</t>
  </si>
  <si>
    <t>L2850</t>
  </si>
  <si>
    <t>L2851</t>
  </si>
  <si>
    <t>L2852</t>
  </si>
  <si>
    <t>L2853</t>
  </si>
  <si>
    <t>L2854</t>
  </si>
  <si>
    <t>L2855</t>
  </si>
  <si>
    <t>L2856</t>
  </si>
  <si>
    <t>L2857</t>
  </si>
  <si>
    <t>L2858</t>
  </si>
  <si>
    <t>L2859</t>
  </si>
  <si>
    <t>L2860</t>
  </si>
  <si>
    <t>L2861</t>
  </si>
  <si>
    <t>L2862</t>
  </si>
  <si>
    <t>L2863</t>
  </si>
  <si>
    <t>L2864</t>
  </si>
  <si>
    <t>L2865</t>
  </si>
  <si>
    <t>L2866</t>
  </si>
  <si>
    <t>L2867</t>
  </si>
  <si>
    <t>L2868</t>
  </si>
  <si>
    <t>L2869</t>
  </si>
  <si>
    <t>L2870</t>
  </si>
  <si>
    <t>L2871</t>
  </si>
  <si>
    <t>L2872</t>
  </si>
  <si>
    <t>L2873</t>
  </si>
  <si>
    <t>L2874</t>
  </si>
  <si>
    <t>L2875</t>
  </si>
  <si>
    <t>L2876</t>
  </si>
  <si>
    <t>L2877</t>
  </si>
  <si>
    <t>L2878</t>
  </si>
  <si>
    <t>L2879</t>
  </si>
  <si>
    <t>L2881</t>
  </si>
  <si>
    <t>L2882</t>
  </si>
  <si>
    <t>L2883</t>
  </si>
  <si>
    <t>L2885</t>
  </si>
  <si>
    <t>L2886</t>
  </si>
  <si>
    <t>L2889</t>
  </si>
  <si>
    <t>L2890</t>
  </si>
  <si>
    <t>L2891</t>
  </si>
  <si>
    <t>L2892</t>
  </si>
  <si>
    <t>L2893</t>
  </si>
  <si>
    <t>L2894</t>
  </si>
  <si>
    <t>L2895</t>
  </si>
  <si>
    <t>L2896</t>
  </si>
  <si>
    <t>L2898</t>
  </si>
  <si>
    <t>L2899</t>
  </si>
  <si>
    <t>L2900</t>
  </si>
  <si>
    <t>L2901</t>
  </si>
  <si>
    <t>L2902</t>
  </si>
  <si>
    <t>L2903</t>
  </si>
  <si>
    <t>L2904</t>
  </si>
  <si>
    <t>L2905</t>
  </si>
  <si>
    <t>L2906</t>
  </si>
  <si>
    <t>L2907</t>
  </si>
  <si>
    <t>L2908</t>
  </si>
  <si>
    <t>L2909</t>
  </si>
  <si>
    <t>L2910</t>
  </si>
  <si>
    <t>L2911</t>
  </si>
  <si>
    <t>L2912</t>
  </si>
  <si>
    <t>L2913</t>
  </si>
  <si>
    <t>L2914</t>
  </si>
  <si>
    <t>L2915</t>
  </si>
  <si>
    <t>L2916</t>
  </si>
  <si>
    <t>L2917</t>
  </si>
  <si>
    <t>L2918</t>
  </si>
  <si>
    <t>L2919</t>
  </si>
  <si>
    <t>L2920</t>
  </si>
  <si>
    <t>L2921</t>
  </si>
  <si>
    <t>L2922</t>
  </si>
  <si>
    <t>L2923</t>
  </si>
  <si>
    <t>L2924</t>
  </si>
  <si>
    <t>L2925</t>
  </si>
  <si>
    <t>L2926</t>
  </si>
  <si>
    <t>L2927</t>
  </si>
  <si>
    <t>L2928</t>
  </si>
  <si>
    <t>L2929</t>
  </si>
  <si>
    <t>L2930</t>
  </si>
  <si>
    <t>L2931</t>
  </si>
  <si>
    <t>L2932</t>
  </si>
  <si>
    <t>L2933</t>
  </si>
  <si>
    <t>L2934</t>
  </si>
  <si>
    <t>L2935</t>
  </si>
  <si>
    <t>L2936</t>
  </si>
  <si>
    <t>L2937</t>
  </si>
  <si>
    <t>L2938</t>
  </si>
  <si>
    <t>L2939</t>
  </si>
  <si>
    <t>L2940</t>
  </si>
  <si>
    <t>L2941</t>
  </si>
  <si>
    <t>L2942</t>
  </si>
  <si>
    <t>L2943</t>
  </si>
  <si>
    <t>L2944</t>
  </si>
  <si>
    <t>L2945</t>
  </si>
  <si>
    <t>L2946</t>
  </si>
  <si>
    <t>L2947</t>
  </si>
  <si>
    <t>L2948</t>
  </si>
  <si>
    <t>L2949</t>
  </si>
  <si>
    <t>L2950</t>
  </si>
  <si>
    <t>L2951</t>
  </si>
  <si>
    <t>L2952</t>
  </si>
  <si>
    <t>L2953</t>
  </si>
  <si>
    <t>L2954</t>
  </si>
  <si>
    <t>L2955</t>
  </si>
  <si>
    <t>L2956</t>
  </si>
  <si>
    <t>L2957</t>
  </si>
  <si>
    <t>L2958</t>
  </si>
  <si>
    <t>L2959</t>
  </si>
  <si>
    <t>L2960</t>
  </si>
  <si>
    <t>L2961</t>
  </si>
  <si>
    <t>L2962</t>
  </si>
  <si>
    <t>L2963</t>
  </si>
  <si>
    <t>L2964</t>
  </si>
  <si>
    <t>L2965</t>
  </si>
  <si>
    <t>L2966</t>
  </si>
  <si>
    <t>L2967</t>
  </si>
  <si>
    <t>L2968</t>
  </si>
  <si>
    <t>L2969</t>
  </si>
  <si>
    <t>L2970</t>
  </si>
  <si>
    <t>L2971</t>
  </si>
  <si>
    <t>L2972</t>
  </si>
  <si>
    <t>L2973</t>
  </si>
  <si>
    <t>L2974</t>
  </si>
  <si>
    <t>L2975</t>
  </si>
  <si>
    <t>L2976</t>
  </si>
  <si>
    <t>L2977</t>
  </si>
  <si>
    <t>L2978</t>
  </si>
  <si>
    <t>L2979</t>
  </si>
  <si>
    <t>L2980</t>
  </si>
  <si>
    <t>L2981</t>
  </si>
  <si>
    <t>L2982</t>
  </si>
  <si>
    <t>L2983</t>
  </si>
  <si>
    <t>L2984</t>
  </si>
  <si>
    <t>L2985</t>
  </si>
  <si>
    <t>L2986</t>
  </si>
  <si>
    <t>L2987</t>
  </si>
  <si>
    <t>L2988</t>
  </si>
  <si>
    <t>L2989</t>
  </si>
  <si>
    <t>L2990</t>
  </si>
  <si>
    <t>L2991</t>
  </si>
  <si>
    <t>L2992</t>
  </si>
  <si>
    <t>L2993</t>
  </si>
  <si>
    <t>L2994</t>
  </si>
  <si>
    <t>L2995</t>
  </si>
  <si>
    <t>L2996</t>
  </si>
  <si>
    <t>L2997</t>
  </si>
  <si>
    <t>L2998</t>
  </si>
  <si>
    <t>L2999</t>
  </si>
  <si>
    <t>L3000</t>
  </si>
  <si>
    <t>L3001</t>
  </si>
  <si>
    <t>L3002</t>
  </si>
  <si>
    <t>L3003</t>
  </si>
  <si>
    <t>L3004</t>
  </si>
  <si>
    <t>L3005</t>
  </si>
  <si>
    <t>L3006</t>
  </si>
  <si>
    <t>L3007</t>
  </si>
  <si>
    <t>L3008</t>
  </si>
  <si>
    <t>L3009</t>
  </si>
  <si>
    <t>L3010</t>
  </si>
  <si>
    <t>L3011</t>
  </si>
  <si>
    <t>L3012</t>
  </si>
  <si>
    <t>L3013</t>
  </si>
  <si>
    <t>L3014</t>
  </si>
  <si>
    <t>L3015</t>
  </si>
  <si>
    <t>L3016</t>
  </si>
  <si>
    <t>L3017</t>
  </si>
  <si>
    <t>L3018</t>
  </si>
  <si>
    <t>L3019</t>
  </si>
  <si>
    <t>L3020</t>
  </si>
  <si>
    <t>L3021</t>
  </si>
  <si>
    <t>L3022</t>
  </si>
  <si>
    <t>L3023</t>
  </si>
  <si>
    <t>L3024</t>
  </si>
  <si>
    <t>L3025</t>
  </si>
  <si>
    <t>L3026</t>
  </si>
  <si>
    <t>L3027</t>
  </si>
  <si>
    <t>L3028</t>
  </si>
  <si>
    <t>L3029</t>
  </si>
  <si>
    <t>L3030</t>
  </si>
  <si>
    <t>L3031</t>
  </si>
  <si>
    <t>L3032</t>
  </si>
  <si>
    <t>L3033</t>
  </si>
  <si>
    <t>L3034</t>
  </si>
  <si>
    <t>L3035</t>
  </si>
  <si>
    <t>L3036</t>
  </si>
  <si>
    <t>L3037</t>
  </si>
  <si>
    <t>L3038</t>
  </si>
  <si>
    <t>L3039</t>
  </si>
  <si>
    <t>L3040</t>
  </si>
  <si>
    <t>L3041</t>
  </si>
  <si>
    <t>L3042</t>
  </si>
  <si>
    <t>L3043</t>
  </si>
  <si>
    <t>L3044</t>
  </si>
  <si>
    <t>L3045</t>
  </si>
  <si>
    <t>L3046</t>
  </si>
  <si>
    <t>L3047</t>
  </si>
  <si>
    <t>L3048</t>
  </si>
  <si>
    <t>L3049</t>
  </si>
  <si>
    <t>L3050</t>
  </si>
  <si>
    <t>L3051</t>
  </si>
  <si>
    <t>L3052</t>
  </si>
  <si>
    <t>L3053</t>
  </si>
  <si>
    <t>L3054</t>
  </si>
  <si>
    <t>L3055</t>
  </si>
  <si>
    <t>L3056</t>
  </si>
  <si>
    <t>L3057</t>
  </si>
  <si>
    <t>L3058</t>
  </si>
  <si>
    <t>L3059</t>
  </si>
  <si>
    <t>L3060</t>
  </si>
  <si>
    <t>L3061</t>
  </si>
  <si>
    <t>L3062</t>
  </si>
  <si>
    <t>L3063</t>
  </si>
  <si>
    <t>L3064</t>
  </si>
  <si>
    <t>L3065</t>
  </si>
  <si>
    <t>L3066</t>
  </si>
  <si>
    <t>L3067</t>
  </si>
  <si>
    <t>L3068</t>
  </si>
  <si>
    <t>L3069</t>
  </si>
  <si>
    <t>L3070</t>
  </si>
  <si>
    <t>L3071</t>
  </si>
  <si>
    <t>L3072</t>
  </si>
  <si>
    <t>L3073</t>
  </si>
  <si>
    <t>L3074</t>
  </si>
  <si>
    <t>L3075</t>
  </si>
  <si>
    <t>L3076</t>
  </si>
  <si>
    <t>L3077</t>
  </si>
  <si>
    <t>L3078</t>
  </si>
  <si>
    <t>L3079</t>
  </si>
  <si>
    <t>L3080</t>
  </si>
  <si>
    <t>L3081</t>
  </si>
  <si>
    <t>L3082</t>
  </si>
  <si>
    <t>L3083</t>
  </si>
  <si>
    <t>L3084</t>
  </si>
  <si>
    <t>L3085</t>
  </si>
  <si>
    <t>L3086</t>
  </si>
  <si>
    <t>L3087</t>
  </si>
  <si>
    <t>L3088</t>
  </si>
  <si>
    <t>L3089</t>
  </si>
  <si>
    <t>L3090</t>
  </si>
  <si>
    <t>L3091</t>
  </si>
  <si>
    <t>L3092</t>
  </si>
  <si>
    <t>L3093</t>
  </si>
  <si>
    <t>L3094</t>
  </si>
  <si>
    <t>L3095</t>
  </si>
  <si>
    <t>L3096</t>
  </si>
  <si>
    <t>L3097</t>
  </si>
  <si>
    <t>L3098</t>
  </si>
  <si>
    <t>L3099</t>
  </si>
  <si>
    <t>L3100</t>
  </si>
  <si>
    <t>L3101</t>
  </si>
  <si>
    <t>L3102</t>
  </si>
  <si>
    <t>L3103</t>
  </si>
  <si>
    <t>L3104</t>
  </si>
  <si>
    <t>L3105</t>
  </si>
  <si>
    <t>L3106</t>
  </si>
  <si>
    <t>L3107</t>
  </si>
  <si>
    <t>L3108</t>
  </si>
  <si>
    <t>L3109</t>
  </si>
  <si>
    <t>L3110</t>
  </si>
  <si>
    <t>L3111</t>
  </si>
  <si>
    <t>L3112</t>
  </si>
  <si>
    <t>L3113</t>
  </si>
  <si>
    <t>L3114</t>
  </si>
  <si>
    <t>L3115</t>
  </si>
  <si>
    <t>L3116</t>
  </si>
  <si>
    <t>L3117</t>
  </si>
  <si>
    <t>L3118</t>
  </si>
  <si>
    <t>L3119</t>
  </si>
  <si>
    <t>L3120</t>
  </si>
  <si>
    <t>L3121</t>
  </si>
  <si>
    <t>L3122</t>
  </si>
  <si>
    <t>L3123</t>
  </si>
  <si>
    <t>L3124</t>
  </si>
  <si>
    <t>L3125</t>
  </si>
  <si>
    <t>L3126</t>
  </si>
  <si>
    <t>L3127</t>
  </si>
  <si>
    <t>L3128</t>
  </si>
  <si>
    <t>L3129</t>
  </si>
  <si>
    <t>L3130</t>
  </si>
  <si>
    <t>L3131</t>
  </si>
  <si>
    <t>L3132</t>
  </si>
  <si>
    <t>L3133</t>
  </si>
  <si>
    <t>L3134</t>
  </si>
  <si>
    <t>L3135</t>
  </si>
  <si>
    <t>L3136</t>
  </si>
  <si>
    <t>L3137</t>
  </si>
  <si>
    <t>L3138</t>
  </si>
  <si>
    <t>L3139</t>
  </si>
  <si>
    <t>L3140</t>
  </si>
  <si>
    <t>L3141</t>
  </si>
  <si>
    <t>L3142</t>
  </si>
  <si>
    <t>L3143</t>
  </si>
  <si>
    <t>L3144</t>
  </si>
  <si>
    <t>L3145</t>
  </si>
  <si>
    <t>L3146</t>
  </si>
  <si>
    <t>L3147</t>
  </si>
  <si>
    <t>L3148</t>
  </si>
  <si>
    <t>L3149</t>
  </si>
  <si>
    <t>L3150</t>
  </si>
  <si>
    <t>L3151</t>
  </si>
  <si>
    <t>L3152</t>
  </si>
  <si>
    <t>L3153</t>
  </si>
  <si>
    <t>L3154</t>
  </si>
  <si>
    <t>L3155</t>
  </si>
  <si>
    <t>L3156</t>
  </si>
  <si>
    <t>L3157</t>
  </si>
  <si>
    <t>L3158</t>
  </si>
  <si>
    <t>L3159</t>
  </si>
  <si>
    <t>L3160</t>
  </si>
  <si>
    <t>L3161</t>
  </si>
  <si>
    <t>L3162</t>
  </si>
  <si>
    <t>L3163</t>
  </si>
  <si>
    <t>L3164</t>
  </si>
  <si>
    <t>L3165</t>
  </si>
  <si>
    <t>L3166</t>
  </si>
  <si>
    <t>L3167</t>
  </si>
  <si>
    <t>L3168</t>
  </si>
  <si>
    <t>L3169</t>
  </si>
  <si>
    <t>L3170</t>
  </si>
  <si>
    <t>L3171</t>
  </si>
  <si>
    <t>L3172</t>
  </si>
  <si>
    <t>L3173</t>
  </si>
  <si>
    <t>L3174</t>
  </si>
  <si>
    <t>L3175</t>
  </si>
  <si>
    <t>L3176</t>
  </si>
  <si>
    <t>L3177</t>
  </si>
  <si>
    <t>L3178</t>
  </si>
  <si>
    <t>L3179</t>
  </si>
  <si>
    <t>L3180</t>
  </si>
  <si>
    <t>L3181</t>
  </si>
  <si>
    <t>L3182</t>
  </si>
  <si>
    <t>L3183</t>
  </si>
  <si>
    <t>L3184</t>
  </si>
  <si>
    <t>L3185</t>
  </si>
  <si>
    <t>L3186</t>
  </si>
  <si>
    <t>L3187</t>
  </si>
  <si>
    <t>L3188</t>
  </si>
  <si>
    <t>L3189</t>
  </si>
  <si>
    <t>L3190</t>
  </si>
  <si>
    <t>L3191</t>
  </si>
  <si>
    <t>L3192</t>
  </si>
  <si>
    <t>L3193</t>
  </si>
  <si>
    <t>L3194</t>
  </si>
  <si>
    <t>L3195</t>
  </si>
  <si>
    <t>L3196</t>
  </si>
  <si>
    <t>L3197</t>
  </si>
  <si>
    <t>L3198</t>
  </si>
  <si>
    <t>L3199</t>
  </si>
  <si>
    <t>L3200</t>
  </si>
  <si>
    <t>L3201</t>
  </si>
  <si>
    <t>L3202</t>
  </si>
  <si>
    <t>L3203</t>
  </si>
  <si>
    <t>L3204</t>
  </si>
  <si>
    <t>L3205</t>
  </si>
  <si>
    <t>L3206</t>
  </si>
  <si>
    <t>L3207</t>
  </si>
  <si>
    <t>L3208</t>
  </si>
  <si>
    <t>L3209</t>
  </si>
  <si>
    <t>L3210</t>
  </si>
  <si>
    <t>L3211</t>
  </si>
  <si>
    <t>L3212</t>
  </si>
  <si>
    <t>L3213</t>
  </si>
  <si>
    <t>L3214</t>
  </si>
  <si>
    <t>L3215</t>
  </si>
  <si>
    <t>L3216</t>
  </si>
  <si>
    <t>L3217</t>
  </si>
  <si>
    <t>L3218</t>
  </si>
  <si>
    <t>L3219</t>
  </si>
  <si>
    <t>L3220</t>
  </si>
  <si>
    <t>L3221</t>
  </si>
  <si>
    <t>L3222</t>
  </si>
  <si>
    <t>L3223</t>
  </si>
  <si>
    <t>L3224</t>
  </si>
  <si>
    <t>L3225</t>
  </si>
  <si>
    <t>L3226</t>
  </si>
  <si>
    <t>L3227</t>
  </si>
  <si>
    <t>L3228</t>
  </si>
  <si>
    <t>L3229</t>
  </si>
  <si>
    <t>L3230</t>
  </si>
  <si>
    <t>L3231</t>
  </si>
  <si>
    <t>L3232</t>
  </si>
  <si>
    <t>L3233</t>
  </si>
  <si>
    <t>L3234</t>
  </si>
  <si>
    <t>L3235</t>
  </si>
  <si>
    <t>L3236</t>
  </si>
  <si>
    <t>L3237</t>
  </si>
  <si>
    <t>L3238</t>
  </si>
  <si>
    <t>L3239</t>
  </si>
  <si>
    <t>L3240</t>
  </si>
  <si>
    <t>L3241</t>
  </si>
  <si>
    <t>L3242</t>
  </si>
  <si>
    <t>L3243</t>
  </si>
  <si>
    <t>L3244</t>
  </si>
  <si>
    <t>L3245</t>
  </si>
  <si>
    <t>L3246</t>
  </si>
  <si>
    <t>L3247</t>
  </si>
  <si>
    <t>L3248</t>
  </si>
  <si>
    <t>L3249</t>
  </si>
  <si>
    <t>L3250</t>
  </si>
  <si>
    <t>L3251</t>
  </si>
  <si>
    <t>L3252</t>
  </si>
  <si>
    <t>L3253</t>
  </si>
  <si>
    <t>L3254</t>
  </si>
  <si>
    <t>L3255</t>
  </si>
  <si>
    <t>L3256</t>
  </si>
  <si>
    <t>L3257</t>
  </si>
  <si>
    <t>L3258</t>
  </si>
  <si>
    <t>L3259</t>
  </si>
  <si>
    <t>L3260</t>
  </si>
  <si>
    <t>L3261</t>
  </si>
  <si>
    <t>L3262</t>
  </si>
  <si>
    <t>L3263</t>
  </si>
  <si>
    <t>L3264</t>
  </si>
  <si>
    <t>L3265</t>
  </si>
  <si>
    <t>L3266</t>
  </si>
  <si>
    <t>L3267</t>
  </si>
  <si>
    <t>L3268</t>
  </si>
  <si>
    <t>L3269</t>
  </si>
  <si>
    <t>L3270</t>
  </si>
  <si>
    <t>L3271</t>
  </si>
  <si>
    <t>L3272</t>
  </si>
  <si>
    <t>L3273</t>
  </si>
  <si>
    <t>L3274</t>
  </si>
  <si>
    <t>L3275</t>
  </si>
  <si>
    <t>L3276</t>
  </si>
  <si>
    <t>L3277</t>
  </si>
  <si>
    <t>L3278</t>
  </si>
  <si>
    <t>L3279</t>
  </si>
  <si>
    <t>L3280</t>
  </si>
  <si>
    <t>L3281</t>
  </si>
  <si>
    <t>L3282</t>
  </si>
  <si>
    <t>L3283</t>
  </si>
  <si>
    <t>L3284</t>
  </si>
  <si>
    <t>L3285</t>
  </si>
  <si>
    <t>L3286</t>
  </si>
  <si>
    <t>L3287</t>
  </si>
  <si>
    <t>L3288</t>
  </si>
  <si>
    <t>L3289</t>
  </si>
  <si>
    <t>L3290</t>
  </si>
  <si>
    <t>L3291</t>
  </si>
  <si>
    <t>L3292</t>
  </si>
  <si>
    <t>L3293</t>
  </si>
  <si>
    <t>L3294</t>
  </si>
  <si>
    <t>L3295</t>
  </si>
  <si>
    <t>L3296</t>
  </si>
  <si>
    <t>L3297</t>
  </si>
  <si>
    <t>L3298</t>
  </si>
  <si>
    <t>L3299</t>
  </si>
  <si>
    <t>L3300</t>
  </si>
  <si>
    <t>L3301</t>
  </si>
  <si>
    <t>L3302</t>
  </si>
  <si>
    <t>L3303</t>
  </si>
  <si>
    <t>L3304</t>
  </si>
  <si>
    <t>L3305</t>
  </si>
  <si>
    <t>L3306</t>
  </si>
  <si>
    <t>L3307</t>
  </si>
  <si>
    <t>L3308</t>
  </si>
  <si>
    <t>L3309</t>
  </si>
  <si>
    <t>L3310</t>
  </si>
  <si>
    <t>L3311</t>
  </si>
  <si>
    <t>L3312</t>
  </si>
  <si>
    <t>L3313</t>
  </si>
  <si>
    <t>L3314</t>
  </si>
  <si>
    <t>L3315</t>
  </si>
  <si>
    <t>L3316</t>
  </si>
  <si>
    <t>L3317</t>
  </si>
  <si>
    <t>L3318</t>
  </si>
  <si>
    <t>L3319</t>
  </si>
  <si>
    <t>L3320</t>
  </si>
  <si>
    <t>L3321</t>
  </si>
  <si>
    <t>L3322</t>
  </si>
  <si>
    <t>L3323</t>
  </si>
  <si>
    <t>L3324</t>
  </si>
  <si>
    <t>L3325</t>
  </si>
  <si>
    <t>L3326</t>
  </si>
  <si>
    <t>L3327</t>
  </si>
  <si>
    <t>L3328</t>
  </si>
  <si>
    <t>L3329</t>
  </si>
  <si>
    <t>L3330</t>
  </si>
  <si>
    <t>L3331</t>
  </si>
  <si>
    <t>L3332</t>
  </si>
  <si>
    <t>L3333</t>
  </si>
  <si>
    <t>L3334</t>
  </si>
  <si>
    <t>L3335</t>
  </si>
  <si>
    <t>L3336</t>
  </si>
  <si>
    <t>L3337</t>
  </si>
  <si>
    <t>L3338</t>
  </si>
  <si>
    <t>L3339</t>
  </si>
  <si>
    <t>L3340</t>
  </si>
  <si>
    <t>L3341</t>
  </si>
  <si>
    <t>L3342</t>
  </si>
  <si>
    <t>L3343</t>
  </si>
  <si>
    <t>L3344</t>
  </si>
  <si>
    <t>L3345</t>
  </si>
  <si>
    <t>L3346</t>
  </si>
  <si>
    <t>L3347</t>
  </si>
  <si>
    <t>L3348</t>
  </si>
  <si>
    <t>L3349</t>
  </si>
  <si>
    <t>L3350</t>
  </si>
  <si>
    <t>L3351</t>
  </si>
  <si>
    <t>L3352</t>
  </si>
  <si>
    <t>L3353</t>
  </si>
  <si>
    <t>L3354</t>
  </si>
  <si>
    <t>L3355</t>
  </si>
  <si>
    <t>L3356</t>
  </si>
  <si>
    <t>L3357</t>
  </si>
  <si>
    <t>L3358</t>
  </si>
  <si>
    <t>L3359</t>
  </si>
  <si>
    <t>L3360</t>
  </si>
  <si>
    <t>L3361</t>
  </si>
  <si>
    <t>L3362</t>
  </si>
  <si>
    <t>L3363</t>
  </si>
  <si>
    <t>L3364</t>
  </si>
  <si>
    <t>L3365</t>
  </si>
  <si>
    <t>L3366</t>
  </si>
  <si>
    <t>L3367</t>
  </si>
  <si>
    <t>L3368</t>
  </si>
  <si>
    <t>L3369</t>
  </si>
  <si>
    <t>L3370</t>
  </si>
  <si>
    <t>L3371</t>
  </si>
  <si>
    <t>L3372</t>
  </si>
  <si>
    <t>L3373</t>
  </si>
  <si>
    <t>L3374</t>
  </si>
  <si>
    <t>L3375</t>
  </si>
  <si>
    <t>L3376</t>
  </si>
  <si>
    <t>L3377</t>
  </si>
  <si>
    <t>L3378</t>
  </si>
  <si>
    <t>L3379</t>
  </si>
  <si>
    <t>L3380</t>
  </si>
  <si>
    <t>L3381</t>
  </si>
  <si>
    <t>L3382</t>
  </si>
  <si>
    <t>L3383</t>
  </si>
  <si>
    <t>L3384</t>
  </si>
  <si>
    <t>L3385</t>
  </si>
  <si>
    <t>L3386</t>
  </si>
  <si>
    <t>L3387</t>
  </si>
  <si>
    <t>L3388</t>
  </si>
  <si>
    <t>L3389</t>
  </si>
  <si>
    <t>L3390</t>
  </si>
  <si>
    <t>L3391</t>
  </si>
  <si>
    <t>L3392</t>
  </si>
  <si>
    <t>L3393</t>
  </si>
  <si>
    <t>L3394</t>
  </si>
  <si>
    <t>L3395</t>
  </si>
  <si>
    <t>L3396</t>
  </si>
  <si>
    <t>L3397</t>
  </si>
  <si>
    <t>L3398</t>
  </si>
  <si>
    <t>L3399</t>
  </si>
  <si>
    <t>L3400</t>
  </si>
  <si>
    <t>L3401</t>
  </si>
  <si>
    <t>L3402</t>
  </si>
  <si>
    <t>L3403</t>
  </si>
  <si>
    <t>L3404</t>
  </si>
  <si>
    <t>L3405</t>
  </si>
  <si>
    <t>L3406</t>
  </si>
  <si>
    <t>L3407</t>
  </si>
  <si>
    <t>L3408</t>
  </si>
  <si>
    <t>L3409</t>
  </si>
  <si>
    <t>L3410</t>
  </si>
  <si>
    <t>L3411</t>
  </si>
  <si>
    <t>L3412</t>
  </si>
  <si>
    <t>L3413</t>
  </si>
  <si>
    <t>L3414</t>
  </si>
  <si>
    <t>L3415</t>
  </si>
  <si>
    <t>L3416</t>
  </si>
  <si>
    <t>L3417</t>
  </si>
  <si>
    <t>L3418</t>
  </si>
  <si>
    <t>L3419</t>
  </si>
  <si>
    <t>L3420</t>
  </si>
  <si>
    <t>L3421</t>
  </si>
  <si>
    <t>L3422</t>
  </si>
  <si>
    <t>L3423</t>
  </si>
  <si>
    <t>L3424</t>
  </si>
  <si>
    <t>L3425</t>
  </si>
  <si>
    <t>L3426</t>
  </si>
  <si>
    <t>L3427</t>
  </si>
  <si>
    <t>L3428</t>
  </si>
  <si>
    <t>L3429</t>
  </si>
  <si>
    <t>L3430</t>
  </si>
  <si>
    <t>L3431</t>
  </si>
  <si>
    <t>L3432</t>
  </si>
  <si>
    <t>L3433</t>
  </si>
  <si>
    <t>L3434</t>
  </si>
  <si>
    <t>L3435</t>
  </si>
  <si>
    <t>L3436</t>
  </si>
  <si>
    <t>L3437</t>
  </si>
  <si>
    <t>L3438</t>
  </si>
  <si>
    <t>L3439</t>
  </si>
  <si>
    <t>L3440</t>
  </si>
  <si>
    <t>L3441</t>
  </si>
  <si>
    <t>L3442</t>
  </si>
  <si>
    <t>L3443</t>
  </si>
  <si>
    <t>L3444</t>
  </si>
  <si>
    <t>L3445</t>
  </si>
  <si>
    <t>L3446</t>
  </si>
  <si>
    <t>L3447</t>
  </si>
  <si>
    <t>L3448</t>
  </si>
  <si>
    <t>L3449</t>
  </si>
  <si>
    <t>L3450</t>
  </si>
  <si>
    <t>L3451</t>
  </si>
  <si>
    <t>L3452</t>
  </si>
  <si>
    <t>L3453</t>
  </si>
  <si>
    <t>L3454</t>
  </si>
  <si>
    <t>L3455</t>
  </si>
  <si>
    <t>L3456</t>
  </si>
  <si>
    <t>L3457</t>
  </si>
  <si>
    <t>L3458</t>
  </si>
  <si>
    <t>L3459</t>
  </si>
  <si>
    <t>L3460</t>
  </si>
  <si>
    <t>L3461</t>
  </si>
  <si>
    <t>L3462</t>
  </si>
  <si>
    <t>L3463</t>
  </si>
  <si>
    <t>L3464</t>
  </si>
  <si>
    <t>L3465</t>
  </si>
  <si>
    <t>L3466</t>
  </si>
  <si>
    <t>L3467</t>
  </si>
  <si>
    <t>L3468</t>
  </si>
  <si>
    <t>L3469</t>
  </si>
  <si>
    <t>L3470</t>
  </si>
  <si>
    <t>L3471</t>
  </si>
  <si>
    <t>L3472</t>
  </si>
  <si>
    <t>L3473</t>
  </si>
  <si>
    <t>L3474</t>
  </si>
  <si>
    <t>L3475</t>
  </si>
  <si>
    <t>L3476</t>
  </si>
  <si>
    <t>L3477</t>
  </si>
  <si>
    <t>L3478</t>
  </si>
  <si>
    <t>L3479</t>
  </si>
  <si>
    <t>L3480</t>
  </si>
  <si>
    <t>L3481</t>
  </si>
  <si>
    <t>L3482</t>
  </si>
  <si>
    <t>L3483</t>
  </si>
  <si>
    <t>L3484</t>
  </si>
  <si>
    <t>L3485</t>
  </si>
  <si>
    <t>L3486</t>
  </si>
  <si>
    <t>L3487</t>
  </si>
  <si>
    <t>L3488</t>
  </si>
  <si>
    <t>L3489</t>
  </si>
  <si>
    <t>L3490</t>
  </si>
  <si>
    <t>L3491</t>
  </si>
  <si>
    <t>L3492</t>
  </si>
  <si>
    <t>L3493</t>
  </si>
  <si>
    <t>L3494</t>
  </si>
  <si>
    <t>L3495</t>
  </si>
  <si>
    <t>L3496</t>
  </si>
  <si>
    <t>L3497</t>
  </si>
  <si>
    <t>L3498</t>
  </si>
  <si>
    <t>L3499</t>
  </si>
  <si>
    <t>L3500</t>
  </si>
  <si>
    <t>L3501</t>
  </si>
  <si>
    <t>L3502</t>
  </si>
  <si>
    <t>L3503</t>
  </si>
  <si>
    <t>L3504</t>
  </si>
  <si>
    <t>L3505</t>
  </si>
  <si>
    <t>L3506</t>
  </si>
  <si>
    <t>L3507</t>
  </si>
  <si>
    <t>L3508</t>
  </si>
  <si>
    <t>L3509</t>
  </si>
  <si>
    <t>L3510</t>
  </si>
  <si>
    <t>L3511</t>
  </si>
  <si>
    <t>L3512</t>
  </si>
  <si>
    <t>L3513</t>
  </si>
  <si>
    <t>L3514</t>
  </si>
  <si>
    <t>L3515</t>
  </si>
  <si>
    <t>L3516</t>
  </si>
  <si>
    <t>L3517</t>
  </si>
  <si>
    <t>L3518</t>
  </si>
  <si>
    <t>L3519</t>
  </si>
  <si>
    <t>L3520</t>
  </si>
  <si>
    <t>L3521</t>
  </si>
  <si>
    <t>L3522</t>
  </si>
  <si>
    <t>L3523</t>
  </si>
  <si>
    <t>L3524</t>
  </si>
  <si>
    <t>L3525</t>
  </si>
  <si>
    <t>L3526</t>
  </si>
  <si>
    <t>L3527</t>
  </si>
  <si>
    <t>L3528</t>
  </si>
  <si>
    <t>L3529</t>
  </si>
  <si>
    <t>L3530</t>
  </si>
  <si>
    <t>L3531</t>
  </si>
  <si>
    <t>L3532</t>
  </si>
  <si>
    <t>L3533</t>
  </si>
  <si>
    <t>L3534</t>
  </si>
  <si>
    <t>L3535</t>
  </si>
  <si>
    <t>L3536</t>
  </si>
  <si>
    <t>L3537</t>
  </si>
  <si>
    <t>L3538</t>
  </si>
  <si>
    <t>L3539</t>
  </si>
  <si>
    <t>L3540</t>
  </si>
  <si>
    <t>L3541</t>
  </si>
  <si>
    <t>L3542</t>
  </si>
  <si>
    <t>L3543</t>
  </si>
  <si>
    <t>L3544</t>
  </si>
  <si>
    <t>L3545</t>
  </si>
  <si>
    <t>L3546</t>
  </si>
  <si>
    <t>L3547</t>
  </si>
  <si>
    <t>L3548</t>
  </si>
  <si>
    <t>L3549</t>
  </si>
  <si>
    <t>L3550</t>
  </si>
  <si>
    <t>L3551</t>
  </si>
  <si>
    <t>L3552</t>
  </si>
  <si>
    <t>L3553</t>
  </si>
  <si>
    <t>L3554</t>
  </si>
  <si>
    <t>L3555</t>
  </si>
  <si>
    <t>L3556</t>
  </si>
  <si>
    <t>L3557</t>
  </si>
  <si>
    <t>L3558</t>
  </si>
  <si>
    <t>L3559</t>
  </si>
  <si>
    <t>L3560</t>
  </si>
  <si>
    <t>L3561</t>
  </si>
  <si>
    <t>L3562</t>
  </si>
  <si>
    <t>L3563</t>
  </si>
  <si>
    <t>L3564</t>
  </si>
  <si>
    <t>L3565</t>
  </si>
  <si>
    <t>L3566</t>
  </si>
  <si>
    <t>L3567</t>
  </si>
  <si>
    <t>L3568</t>
  </si>
  <si>
    <t>L3569</t>
  </si>
  <si>
    <t>L3570</t>
  </si>
  <si>
    <t>L3571</t>
  </si>
  <si>
    <t>L3572</t>
  </si>
  <si>
    <t>L3573</t>
  </si>
  <si>
    <t>L3574</t>
  </si>
  <si>
    <t>L3575</t>
  </si>
  <si>
    <t>L3576</t>
  </si>
  <si>
    <t>L3577</t>
  </si>
  <si>
    <t>L3578</t>
  </si>
  <si>
    <t>L3579</t>
  </si>
  <si>
    <t>L3580</t>
  </si>
  <si>
    <t>L3581</t>
  </si>
  <si>
    <t>L3582</t>
  </si>
  <si>
    <t>L3583</t>
  </si>
  <si>
    <t>L3584</t>
  </si>
  <si>
    <t>L3585</t>
  </si>
  <si>
    <t>L3586</t>
  </si>
  <si>
    <t>L3587</t>
  </si>
  <si>
    <t>L3588</t>
  </si>
  <si>
    <t>L3589</t>
  </si>
  <si>
    <t>L3590</t>
  </si>
  <si>
    <t>L3591</t>
  </si>
  <si>
    <t>L3592</t>
  </si>
  <si>
    <t>L3593</t>
  </si>
  <si>
    <t>L3594</t>
  </si>
  <si>
    <t>L3595</t>
  </si>
  <si>
    <t>L3596</t>
  </si>
  <si>
    <t>L3597</t>
  </si>
  <si>
    <t>L3598</t>
  </si>
  <si>
    <t>L3599</t>
  </si>
  <si>
    <t>L3600</t>
  </si>
  <si>
    <t>L3601</t>
  </si>
  <si>
    <t>L3602</t>
  </si>
  <si>
    <t>L3603</t>
  </si>
  <si>
    <t>L3604</t>
  </si>
  <si>
    <t>L3605</t>
  </si>
  <si>
    <t>L3606</t>
  </si>
  <si>
    <t>L3607</t>
  </si>
  <si>
    <t>L3608</t>
  </si>
  <si>
    <t>L3609</t>
  </si>
  <si>
    <t>L3610</t>
  </si>
  <si>
    <t>L3611</t>
  </si>
  <si>
    <t>L3612</t>
  </si>
  <si>
    <t>L3613</t>
  </si>
  <si>
    <t>L3614</t>
  </si>
  <si>
    <t>L3615</t>
  </si>
  <si>
    <t>L3616</t>
  </si>
  <si>
    <t>L3617</t>
  </si>
  <si>
    <t>L3618</t>
  </si>
  <si>
    <t>L3619</t>
  </si>
  <si>
    <t>L3620</t>
  </si>
  <si>
    <t>L3621</t>
  </si>
  <si>
    <t>L3622</t>
  </si>
  <si>
    <t>L3623</t>
  </si>
  <si>
    <t>L3624</t>
  </si>
  <si>
    <t>L3625</t>
  </si>
  <si>
    <t>L3626</t>
  </si>
  <si>
    <t>L3627</t>
  </si>
  <si>
    <t>L3628</t>
  </si>
  <si>
    <t>L3629</t>
  </si>
  <si>
    <t>L3630</t>
  </si>
  <si>
    <t>L3631</t>
  </si>
  <si>
    <t>L3632</t>
  </si>
  <si>
    <t>L3633</t>
  </si>
  <si>
    <t>L3634</t>
  </si>
  <si>
    <t>L3635</t>
  </si>
  <si>
    <t>L3636</t>
  </si>
  <si>
    <t>L3637</t>
  </si>
  <si>
    <t>L3638</t>
  </si>
  <si>
    <t>L3639</t>
  </si>
  <si>
    <t>L3640</t>
  </si>
  <si>
    <t>L3641</t>
  </si>
  <si>
    <t>L3642</t>
  </si>
  <si>
    <t>L3643</t>
  </si>
  <si>
    <t>L3644</t>
  </si>
  <si>
    <t>L3645</t>
  </si>
  <si>
    <t>L3646</t>
  </si>
  <si>
    <t>L3647</t>
  </si>
  <si>
    <t>L3648</t>
  </si>
  <si>
    <t>L3649</t>
  </si>
  <si>
    <t>L3650</t>
  </si>
  <si>
    <t>L3651</t>
  </si>
  <si>
    <t>L3652</t>
  </si>
  <si>
    <t>L3653</t>
  </si>
  <si>
    <t>L3654</t>
  </si>
  <si>
    <t>L3655</t>
  </si>
  <si>
    <t>L3656</t>
  </si>
  <si>
    <t>L3657</t>
  </si>
  <si>
    <t>L3658</t>
  </si>
  <si>
    <t>L3659</t>
  </si>
  <si>
    <t>L3660</t>
  </si>
  <si>
    <t>L3661</t>
  </si>
  <si>
    <t>L3662</t>
  </si>
  <si>
    <t>L3663</t>
  </si>
  <si>
    <t>L3664</t>
  </si>
  <si>
    <t>L3665</t>
  </si>
  <si>
    <t>L3666</t>
  </si>
  <si>
    <t>L3667</t>
  </si>
  <si>
    <t>L3668</t>
  </si>
  <si>
    <t>L3669</t>
  </si>
  <si>
    <t>L3670</t>
  </si>
  <si>
    <t>L3671</t>
  </si>
  <si>
    <t>L3672</t>
  </si>
  <si>
    <t>L3673</t>
  </si>
  <si>
    <t>L3674</t>
  </si>
  <si>
    <t>L3675</t>
  </si>
  <si>
    <t>L3676</t>
  </si>
  <si>
    <t>L3677</t>
  </si>
  <si>
    <t>L3678</t>
  </si>
  <si>
    <t>L3679</t>
  </si>
  <si>
    <t>L3680</t>
  </si>
  <si>
    <t>L3681</t>
  </si>
  <si>
    <t>L3682</t>
  </si>
  <si>
    <t>L3683</t>
  </si>
  <si>
    <t>L3684</t>
  </si>
  <si>
    <t>L3685</t>
  </si>
  <si>
    <t>L3686</t>
  </si>
  <si>
    <t>L3687</t>
  </si>
  <si>
    <t>L3688</t>
  </si>
  <si>
    <t>L3689</t>
  </si>
  <si>
    <t>L3690</t>
  </si>
  <si>
    <t>L3691</t>
  </si>
  <si>
    <t>L3692</t>
  </si>
  <si>
    <t>L3693</t>
  </si>
  <si>
    <t>L3694</t>
  </si>
  <si>
    <t>L3695</t>
  </si>
  <si>
    <t>L3696</t>
  </si>
  <si>
    <t>L3697</t>
  </si>
  <si>
    <t>L3698</t>
  </si>
  <si>
    <t>L3699</t>
  </si>
  <si>
    <t>L3700</t>
  </si>
  <si>
    <t>L3701</t>
  </si>
  <si>
    <t>L3702</t>
  </si>
  <si>
    <t>L3703</t>
  </si>
  <si>
    <t>L3704</t>
  </si>
  <si>
    <t>L3705</t>
  </si>
  <si>
    <t>L3706</t>
  </si>
  <si>
    <t>L3707</t>
  </si>
  <si>
    <t>L3708</t>
  </si>
  <si>
    <t>L3709</t>
  </si>
  <si>
    <t>L3710</t>
  </si>
  <si>
    <t>L3711</t>
  </si>
  <si>
    <t>L3712</t>
  </si>
  <si>
    <t>L3713</t>
  </si>
  <si>
    <t>L3714</t>
  </si>
  <si>
    <t>L3715</t>
  </si>
  <si>
    <t>L3716</t>
  </si>
  <si>
    <t>L3717</t>
  </si>
  <si>
    <t>L3718</t>
  </si>
  <si>
    <t>L3719</t>
  </si>
  <si>
    <t>L3720</t>
  </si>
  <si>
    <t>L3721</t>
  </si>
  <si>
    <t>L3722</t>
  </si>
  <si>
    <t>L3723</t>
  </si>
  <si>
    <t>L3724</t>
  </si>
  <si>
    <t>L3725</t>
  </si>
  <si>
    <t>L3726</t>
  </si>
  <si>
    <t>L3727</t>
  </si>
  <si>
    <t>L3728</t>
  </si>
  <si>
    <t>L3729</t>
  </si>
  <si>
    <t>L3730</t>
  </si>
  <si>
    <t>L3731</t>
  </si>
  <si>
    <t>L3732</t>
  </si>
  <si>
    <t>L3733</t>
  </si>
  <si>
    <t>L3734</t>
  </si>
  <si>
    <t>L3735</t>
  </si>
  <si>
    <t>L3736</t>
  </si>
  <si>
    <t>L3737</t>
  </si>
  <si>
    <t>L3738</t>
  </si>
  <si>
    <t>L3739</t>
  </si>
  <si>
    <t>L3740</t>
  </si>
  <si>
    <t>L3741</t>
  </si>
  <si>
    <t>L3742</t>
  </si>
  <si>
    <t>L3743</t>
  </si>
  <si>
    <t>L3744</t>
  </si>
  <si>
    <t>L3745</t>
  </si>
  <si>
    <t>L3746</t>
  </si>
  <si>
    <t>L3747</t>
  </si>
  <si>
    <t>L3748</t>
  </si>
  <si>
    <t>L3749</t>
  </si>
  <si>
    <t>L3750</t>
  </si>
  <si>
    <t>L3751</t>
  </si>
  <si>
    <t>L3752</t>
  </si>
  <si>
    <t>L3753</t>
  </si>
  <si>
    <t>L3754</t>
  </si>
  <si>
    <t>L3755</t>
  </si>
  <si>
    <t>L3756</t>
  </si>
  <si>
    <t>L3757</t>
  </si>
  <si>
    <t>L3758</t>
  </si>
  <si>
    <t>L3759</t>
  </si>
  <si>
    <t>L3760</t>
  </si>
  <si>
    <t>L3761</t>
  </si>
  <si>
    <t>L3762</t>
  </si>
  <si>
    <t>L3763</t>
  </si>
  <si>
    <t>L3764</t>
  </si>
  <si>
    <t>L3765</t>
  </si>
  <si>
    <t>L3766</t>
  </si>
  <si>
    <t>L3767</t>
  </si>
  <si>
    <t>L3768</t>
  </si>
  <si>
    <t>L3769</t>
  </si>
  <si>
    <t>L3770</t>
  </si>
  <si>
    <t>L3771</t>
  </si>
  <si>
    <t>L3772</t>
  </si>
  <si>
    <t>L3773</t>
  </si>
  <si>
    <t>L3774</t>
  </si>
  <si>
    <t>L3775</t>
  </si>
  <si>
    <t>L3776</t>
  </si>
  <si>
    <t>L3777</t>
  </si>
  <si>
    <t>L3778</t>
  </si>
  <si>
    <t>L3779</t>
  </si>
  <si>
    <t>L3780</t>
  </si>
  <si>
    <t>L3781</t>
  </si>
  <si>
    <t>L3782</t>
  </si>
  <si>
    <t>L3783</t>
  </si>
  <si>
    <t>L3784</t>
  </si>
  <si>
    <t>L3785</t>
  </si>
  <si>
    <t>L3786</t>
  </si>
  <si>
    <t>L3787</t>
  </si>
  <si>
    <t>L3788</t>
  </si>
  <si>
    <t>L3789</t>
  </si>
  <si>
    <t>L3790</t>
  </si>
  <si>
    <t>L3791</t>
  </si>
  <si>
    <t>L3792</t>
  </si>
  <si>
    <t>L3793</t>
  </si>
  <si>
    <t>L3794</t>
  </si>
  <si>
    <t>L3795</t>
  </si>
  <si>
    <t>L3796</t>
  </si>
  <si>
    <t>L3797</t>
  </si>
  <si>
    <t>L3798</t>
  </si>
  <si>
    <t>L3799</t>
  </si>
  <si>
    <t>L3800</t>
  </si>
  <si>
    <t>L3801</t>
  </si>
  <si>
    <t>L3802</t>
  </si>
  <si>
    <t>L3803</t>
  </si>
  <si>
    <t>L3804</t>
  </si>
  <si>
    <t>L3805</t>
  </si>
  <si>
    <t>L3806</t>
  </si>
  <si>
    <t>L3807</t>
  </si>
  <si>
    <t>L3808</t>
  </si>
  <si>
    <t>L3809</t>
  </si>
  <si>
    <t>L3810</t>
  </si>
  <si>
    <t>L3811</t>
  </si>
  <si>
    <t>L3812</t>
  </si>
  <si>
    <t>L3813</t>
  </si>
  <si>
    <t>L3814</t>
  </si>
  <si>
    <t>L3815</t>
  </si>
  <si>
    <t>L3816</t>
  </si>
  <si>
    <t>L3817</t>
  </si>
  <si>
    <t>L3818</t>
  </si>
  <si>
    <t>L3819</t>
  </si>
  <si>
    <t>L3820</t>
  </si>
  <si>
    <t>L3821</t>
  </si>
  <si>
    <t>L3822</t>
  </si>
  <si>
    <t>L3823</t>
  </si>
  <si>
    <t>L3824</t>
  </si>
  <si>
    <t>L3825</t>
  </si>
  <si>
    <t>L3826</t>
  </si>
  <si>
    <t>L3827</t>
  </si>
  <si>
    <t>L3828</t>
  </si>
  <si>
    <t>L3829</t>
  </si>
  <si>
    <t>L3830</t>
  </si>
  <si>
    <t>L3831</t>
  </si>
  <si>
    <t>L3832</t>
  </si>
  <si>
    <t>L3833</t>
  </si>
  <si>
    <t>L3834</t>
  </si>
  <si>
    <t>L3835</t>
  </si>
  <si>
    <t>L3836</t>
  </si>
  <si>
    <t>L3837</t>
  </si>
  <si>
    <t>L3838</t>
  </si>
  <si>
    <t>L3839</t>
  </si>
  <si>
    <t>L3840</t>
  </si>
  <si>
    <t>L3841</t>
  </si>
  <si>
    <t>L3842</t>
  </si>
  <si>
    <t>L3843</t>
  </si>
  <si>
    <t>L3844</t>
  </si>
  <si>
    <t>L3845</t>
  </si>
  <si>
    <t>L3846</t>
  </si>
  <si>
    <t>L3847</t>
  </si>
  <si>
    <t>L3848</t>
  </si>
  <si>
    <t>L3849</t>
  </si>
  <si>
    <t>L3850</t>
  </si>
  <si>
    <t>L3851</t>
  </si>
  <si>
    <t>L3852</t>
  </si>
  <si>
    <t>L3853</t>
  </si>
  <si>
    <t>L3854</t>
  </si>
  <si>
    <t>L3855</t>
  </si>
  <si>
    <t>L3856</t>
  </si>
  <si>
    <t>L3857</t>
  </si>
  <si>
    <t>L3858</t>
  </si>
  <si>
    <t>L3859</t>
  </si>
  <si>
    <t>L3860</t>
  </si>
  <si>
    <t>L3861</t>
  </si>
  <si>
    <t>L3862</t>
  </si>
  <si>
    <t>L3863</t>
  </si>
  <si>
    <t>L3864</t>
  </si>
  <si>
    <t>L3865</t>
  </si>
  <si>
    <t>L3866</t>
  </si>
  <si>
    <t>L3867</t>
  </si>
  <si>
    <t>L3868</t>
  </si>
  <si>
    <t>L3869</t>
  </si>
  <si>
    <t>L3870</t>
  </si>
  <si>
    <t>L3871</t>
  </si>
  <si>
    <t>L3872</t>
  </si>
  <si>
    <t>L3873</t>
  </si>
  <si>
    <t>L3874</t>
  </si>
  <si>
    <t>L3875</t>
  </si>
  <si>
    <t>L3876</t>
  </si>
  <si>
    <t>L3877</t>
  </si>
  <si>
    <t>L3878</t>
  </si>
  <si>
    <t>L3879</t>
  </si>
  <si>
    <t>L3880</t>
  </si>
  <si>
    <t>L3881</t>
  </si>
  <si>
    <t>L3882</t>
  </si>
  <si>
    <t>L3883</t>
  </si>
  <si>
    <t>L3884</t>
  </si>
  <si>
    <t>L3885</t>
  </si>
  <si>
    <t>L3886</t>
  </si>
  <si>
    <t>L3887</t>
  </si>
  <si>
    <t>L3888</t>
  </si>
  <si>
    <t>L3889</t>
  </si>
  <si>
    <t>L3890</t>
  </si>
  <si>
    <t>L3891</t>
  </si>
  <si>
    <t>L3892</t>
  </si>
  <si>
    <t>L3893</t>
  </si>
  <si>
    <t>L3894</t>
  </si>
  <si>
    <t>L3895</t>
  </si>
  <si>
    <t>L3896</t>
  </si>
  <si>
    <t>L3897</t>
  </si>
  <si>
    <t>L3898</t>
  </si>
  <si>
    <t>L3899</t>
  </si>
  <si>
    <t>L3900</t>
  </si>
  <si>
    <t>L3901</t>
  </si>
  <si>
    <t>L3902</t>
  </si>
  <si>
    <t>L3903</t>
  </si>
  <si>
    <t>L3904</t>
  </si>
  <si>
    <t>L3905</t>
  </si>
  <si>
    <t>L3906</t>
  </si>
  <si>
    <t>L3907</t>
  </si>
  <si>
    <t>L3908</t>
  </si>
  <si>
    <t>L3909</t>
  </si>
  <si>
    <t>L3910</t>
  </si>
  <si>
    <t>L3911</t>
  </si>
  <si>
    <t>L3912</t>
  </si>
  <si>
    <t>L3913</t>
  </si>
  <si>
    <t>L3914</t>
  </si>
  <si>
    <t>L3915</t>
  </si>
  <si>
    <t>L3916</t>
  </si>
  <si>
    <t>L3917</t>
  </si>
  <si>
    <t>L3918</t>
  </si>
  <si>
    <t>L3919</t>
  </si>
  <si>
    <t>L3920</t>
  </si>
  <si>
    <t>L3921</t>
  </si>
  <si>
    <t>L3922</t>
  </si>
  <si>
    <t>L3923</t>
  </si>
  <si>
    <t>L3924</t>
  </si>
  <si>
    <t>L3925</t>
  </si>
  <si>
    <t>L3926</t>
  </si>
  <si>
    <t>L3927</t>
  </si>
  <si>
    <t>L3928</t>
  </si>
  <si>
    <t>L3929</t>
  </si>
  <si>
    <t>L3930</t>
  </si>
  <si>
    <t>L3931</t>
  </si>
  <si>
    <t>L3932</t>
  </si>
  <si>
    <t>L3933</t>
  </si>
  <si>
    <t>L3934</t>
  </si>
  <si>
    <t>L3935</t>
  </si>
  <si>
    <t>L3936</t>
  </si>
  <si>
    <t>L3937</t>
  </si>
  <si>
    <t>L3938</t>
  </si>
  <si>
    <t>L3939</t>
  </si>
  <si>
    <t>L3940</t>
  </si>
  <si>
    <t>L3941</t>
  </si>
  <si>
    <t>L3942</t>
  </si>
  <si>
    <t>L3943</t>
  </si>
  <si>
    <t>L3944</t>
  </si>
  <si>
    <t>L3945</t>
  </si>
  <si>
    <t>L3946</t>
  </si>
  <si>
    <t>L3947</t>
  </si>
  <si>
    <t>L3948</t>
  </si>
  <si>
    <t>L3949</t>
  </si>
  <si>
    <t>L3950</t>
  </si>
  <si>
    <t>L3951</t>
  </si>
  <si>
    <t>L3952</t>
  </si>
  <si>
    <t>L3953</t>
  </si>
  <si>
    <t>L3954</t>
  </si>
  <si>
    <t>L3955</t>
  </si>
  <si>
    <t>L3956</t>
  </si>
  <si>
    <t>L3957</t>
  </si>
  <si>
    <t>L3958</t>
  </si>
  <si>
    <t>L3959</t>
  </si>
  <si>
    <t>L3960</t>
  </si>
  <si>
    <t>L3961</t>
  </si>
  <si>
    <t>L3962</t>
  </si>
  <si>
    <t>L3963</t>
  </si>
  <si>
    <t>L3964</t>
  </si>
  <si>
    <t>L3965</t>
  </si>
  <si>
    <t>L3966</t>
  </si>
  <si>
    <t>L3967</t>
  </si>
  <si>
    <t>L3968</t>
  </si>
  <si>
    <t>L3969</t>
  </si>
  <si>
    <t>L3970</t>
  </si>
  <si>
    <t>L3971</t>
  </si>
  <si>
    <t>L3972</t>
  </si>
  <si>
    <t>L3973</t>
  </si>
  <si>
    <t>L3974</t>
  </si>
  <si>
    <t>L3975</t>
  </si>
  <si>
    <t>L3976</t>
  </si>
  <si>
    <t>L3977</t>
  </si>
  <si>
    <t>L3978</t>
  </si>
  <si>
    <t>L3979</t>
  </si>
  <si>
    <t>L3980</t>
  </si>
  <si>
    <t>L3981</t>
  </si>
  <si>
    <t>L3982</t>
  </si>
  <si>
    <t>L3983</t>
  </si>
  <si>
    <t>L3984</t>
  </si>
  <si>
    <t>L3985</t>
  </si>
  <si>
    <t>L3986</t>
  </si>
  <si>
    <t>L3987</t>
  </si>
  <si>
    <t>L3988</t>
  </si>
  <si>
    <t>L3989</t>
  </si>
  <si>
    <t>L3990</t>
  </si>
  <si>
    <t>L3991</t>
  </si>
  <si>
    <t>L3992</t>
  </si>
  <si>
    <t>L3993</t>
  </si>
  <si>
    <t>L3994</t>
  </si>
  <si>
    <t>L3995</t>
  </si>
  <si>
    <t>L3996</t>
  </si>
  <si>
    <t>L3997</t>
  </si>
  <si>
    <t>L3998</t>
  </si>
  <si>
    <t>L3999</t>
  </si>
  <si>
    <t>L4000</t>
  </si>
  <si>
    <t>L4001</t>
  </si>
  <si>
    <t>L4002</t>
  </si>
  <si>
    <t>L4003</t>
  </si>
  <si>
    <t>L4004</t>
  </si>
  <si>
    <t>L4005</t>
  </si>
  <si>
    <t>L4006</t>
  </si>
  <si>
    <t>L4007</t>
  </si>
  <si>
    <t>L4008</t>
  </si>
  <si>
    <t>L4009</t>
  </si>
  <si>
    <t>L4010</t>
  </si>
  <si>
    <t>L4011</t>
  </si>
  <si>
    <t>L4012</t>
  </si>
  <si>
    <t>L4013</t>
  </si>
  <si>
    <t>L4014</t>
  </si>
  <si>
    <t>L4015</t>
  </si>
  <si>
    <t>L4016</t>
  </si>
  <si>
    <t>L4017</t>
  </si>
  <si>
    <t>L4018</t>
  </si>
  <si>
    <t>L4019</t>
  </si>
  <si>
    <t>L4020</t>
  </si>
  <si>
    <t>L4021</t>
  </si>
  <si>
    <t>L4022</t>
  </si>
  <si>
    <t>L4023</t>
  </si>
  <si>
    <t>L4024</t>
  </si>
  <si>
    <t>L4025</t>
  </si>
  <si>
    <t>L4026</t>
  </si>
  <si>
    <t>L4027</t>
  </si>
  <si>
    <t>L4029</t>
  </si>
  <si>
    <t>L4030</t>
  </si>
  <si>
    <t>L4031</t>
  </si>
  <si>
    <t>L4032</t>
  </si>
  <si>
    <t>L4033</t>
  </si>
  <si>
    <t>L4034</t>
  </si>
  <si>
    <t>L4035</t>
  </si>
  <si>
    <t>L4036</t>
  </si>
  <si>
    <t>L4037</t>
  </si>
  <si>
    <t>L4038</t>
  </si>
  <si>
    <t>L4039</t>
  </si>
  <si>
    <t>L4040</t>
  </si>
  <si>
    <t>L4041</t>
  </si>
  <si>
    <t>L4042</t>
  </si>
  <si>
    <t>L4043</t>
  </si>
  <si>
    <t>L4044</t>
  </si>
  <si>
    <t>L4045</t>
  </si>
  <si>
    <t>L4046</t>
  </si>
  <si>
    <t>L4047</t>
  </si>
  <si>
    <t>L4048</t>
  </si>
  <si>
    <t>L4049</t>
  </si>
  <si>
    <t>L4050</t>
  </si>
  <si>
    <t>L4051</t>
  </si>
  <si>
    <t>L4052</t>
  </si>
  <si>
    <t>L4053</t>
  </si>
  <si>
    <t>L4054</t>
  </si>
  <si>
    <t>L4055</t>
  </si>
  <si>
    <t>L4056</t>
  </si>
  <si>
    <t>L4057</t>
  </si>
  <si>
    <t>L4058</t>
  </si>
  <si>
    <t>L4059</t>
  </si>
  <si>
    <t>L4060</t>
  </si>
  <si>
    <t>L4061</t>
  </si>
  <si>
    <t>L4062</t>
  </si>
  <si>
    <t>L4063</t>
  </si>
  <si>
    <t>L4064</t>
  </si>
  <si>
    <t>L4065</t>
  </si>
  <si>
    <t>L4066</t>
  </si>
  <si>
    <t>L4067</t>
  </si>
  <si>
    <t>L4068</t>
  </si>
  <si>
    <t>L4069</t>
  </si>
  <si>
    <t>L4070</t>
  </si>
  <si>
    <t>L4071</t>
  </si>
  <si>
    <t>L4072</t>
  </si>
  <si>
    <t>L4073</t>
  </si>
  <si>
    <t>L4074</t>
  </si>
  <si>
    <t>L4075</t>
  </si>
  <si>
    <t>L4076</t>
  </si>
  <si>
    <t>L4077</t>
  </si>
  <si>
    <t>L4078</t>
  </si>
  <si>
    <t>L4079</t>
  </si>
  <si>
    <t>L4080</t>
  </si>
  <si>
    <t>L4081</t>
  </si>
  <si>
    <t>L4082</t>
  </si>
  <si>
    <t>L4083</t>
  </si>
  <si>
    <t>L4084</t>
  </si>
  <si>
    <t>L4085</t>
  </si>
  <si>
    <t>L4086</t>
  </si>
  <si>
    <t>L4087</t>
  </si>
  <si>
    <t>L4088</t>
  </si>
  <si>
    <t>L4089</t>
  </si>
  <si>
    <t>L4090</t>
  </si>
  <si>
    <t>L4091</t>
  </si>
  <si>
    <t>L4092</t>
  </si>
  <si>
    <t>L4093</t>
  </si>
  <si>
    <t>L4094</t>
  </si>
  <si>
    <t>L4095</t>
  </si>
  <si>
    <t>L4096</t>
  </si>
  <si>
    <t>L4097</t>
  </si>
  <si>
    <t>L4098</t>
  </si>
  <si>
    <t>L4099</t>
  </si>
  <si>
    <t>L4100</t>
  </si>
  <si>
    <t>L4101</t>
  </si>
  <si>
    <t>L4102</t>
  </si>
  <si>
    <t>L4103</t>
  </si>
  <si>
    <t>L4104</t>
  </si>
  <si>
    <t>L4105</t>
  </si>
  <si>
    <t>L4106</t>
  </si>
  <si>
    <t>L4107</t>
  </si>
  <si>
    <t>L4108</t>
  </si>
  <si>
    <t>L4109</t>
  </si>
  <si>
    <t>L4110</t>
  </si>
  <si>
    <t>L4111</t>
  </si>
  <si>
    <t>L4112</t>
  </si>
  <si>
    <t>L4113</t>
  </si>
  <si>
    <t>L4114</t>
  </si>
  <si>
    <t>L4115</t>
  </si>
  <si>
    <t>L4116</t>
  </si>
  <si>
    <t>L4117</t>
  </si>
  <si>
    <t>L4118</t>
  </si>
  <si>
    <t>L4119</t>
  </si>
  <si>
    <t>L4120</t>
  </si>
  <si>
    <t>L4121</t>
  </si>
  <si>
    <t>L4122</t>
  </si>
  <si>
    <t>L4123</t>
  </si>
  <si>
    <t>L4124</t>
  </si>
  <si>
    <t>L4125</t>
  </si>
  <si>
    <t>L4126</t>
  </si>
  <si>
    <t>L4127</t>
  </si>
  <si>
    <t>L4128</t>
  </si>
  <si>
    <t>L4129</t>
  </si>
  <si>
    <t>L4130</t>
  </si>
  <si>
    <t>L4131</t>
  </si>
  <si>
    <t>L4132</t>
  </si>
  <si>
    <t>L4133</t>
  </si>
  <si>
    <t>L4134</t>
  </si>
  <si>
    <t>L4135</t>
  </si>
  <si>
    <t>L4136</t>
  </si>
  <si>
    <t>L4137</t>
  </si>
  <si>
    <t>L4138</t>
  </si>
  <si>
    <t>L4139</t>
  </si>
  <si>
    <t>L4140</t>
  </si>
  <si>
    <t>L4141</t>
  </si>
  <si>
    <t>L4142</t>
  </si>
  <si>
    <t>L4143</t>
  </si>
  <si>
    <t>L4144</t>
  </si>
  <si>
    <t>L4145</t>
  </si>
  <si>
    <t>L4146</t>
  </si>
  <si>
    <t>L4147</t>
  </si>
  <si>
    <t>L4148</t>
  </si>
  <si>
    <t>L4149</t>
  </si>
  <si>
    <t>L4150</t>
  </si>
  <si>
    <t>L4151</t>
  </si>
  <si>
    <t>L4152</t>
  </si>
  <si>
    <t>L4153</t>
  </si>
  <si>
    <t>L4154</t>
  </si>
  <si>
    <t>L4155</t>
  </si>
  <si>
    <t>L4156</t>
  </si>
  <si>
    <t>L4157</t>
  </si>
  <si>
    <t>L4158</t>
  </si>
  <si>
    <t>L4159</t>
  </si>
  <si>
    <t>L4160</t>
  </si>
  <si>
    <t>L4161</t>
  </si>
  <si>
    <t>L4162</t>
  </si>
  <si>
    <t>L4163</t>
  </si>
  <si>
    <t>L4164</t>
  </si>
  <si>
    <t>L4165</t>
  </si>
  <si>
    <t>L4166</t>
  </si>
  <si>
    <t>L4167</t>
  </si>
  <si>
    <t>L4168</t>
  </si>
  <si>
    <t>L4169</t>
  </si>
  <si>
    <t>L4170</t>
  </si>
  <si>
    <t>L4171</t>
  </si>
  <si>
    <t>L4172</t>
  </si>
  <si>
    <t>L4173</t>
  </si>
  <si>
    <t>L4174</t>
  </si>
  <si>
    <t>L4175</t>
  </si>
  <si>
    <t>L4176</t>
  </si>
  <si>
    <t>L4177</t>
  </si>
  <si>
    <t>L4178</t>
  </si>
  <si>
    <t>L4179</t>
  </si>
  <si>
    <t>L4180</t>
  </si>
  <si>
    <t>L4181</t>
  </si>
  <si>
    <t>L4182</t>
  </si>
  <si>
    <t>L4183</t>
  </si>
  <si>
    <t>L4184</t>
  </si>
  <si>
    <t>L4185</t>
  </si>
  <si>
    <t>L4186</t>
  </si>
  <si>
    <t>L4187</t>
  </si>
  <si>
    <t>L4188</t>
  </si>
  <si>
    <t>L4189</t>
  </si>
  <si>
    <t>L4190</t>
  </si>
  <si>
    <t>L4191</t>
  </si>
  <si>
    <t>L4192</t>
  </si>
  <si>
    <t>L4193</t>
  </si>
  <si>
    <t>L4194</t>
  </si>
  <si>
    <t>L4195</t>
  </si>
  <si>
    <t>L4196</t>
  </si>
  <si>
    <t>L4197</t>
  </si>
  <si>
    <t>L4198</t>
  </si>
  <si>
    <t>L4199</t>
  </si>
  <si>
    <t>L4200</t>
  </si>
  <si>
    <t>L4201</t>
  </si>
  <si>
    <t>L4202</t>
  </si>
  <si>
    <t>L4203</t>
  </si>
  <si>
    <t>L4204</t>
  </si>
  <si>
    <t>L4205</t>
  </si>
  <si>
    <t>L4206</t>
  </si>
  <si>
    <t>L4207</t>
  </si>
  <si>
    <t>L4208</t>
  </si>
  <si>
    <t>L4209</t>
  </si>
  <si>
    <t>L4210</t>
  </si>
  <si>
    <t>L4211</t>
  </si>
  <si>
    <t>L4212</t>
  </si>
  <si>
    <t>L4213</t>
  </si>
  <si>
    <t>L4214</t>
  </si>
  <si>
    <t>L4215</t>
  </si>
  <si>
    <t>L4216</t>
  </si>
  <si>
    <t>L4217</t>
  </si>
  <si>
    <t>L4218</t>
  </si>
  <si>
    <t>L4219</t>
  </si>
  <si>
    <t>L4220</t>
  </si>
  <si>
    <t>L4221</t>
  </si>
  <si>
    <t>L4222</t>
  </si>
  <si>
    <t>L4223</t>
  </si>
  <si>
    <t>L4224</t>
  </si>
  <si>
    <t>L4225</t>
  </si>
  <si>
    <t>L4226</t>
  </si>
  <si>
    <t>L4227</t>
  </si>
  <si>
    <t>L4228</t>
  </si>
  <si>
    <t>L4229</t>
  </si>
  <si>
    <t>L4230</t>
  </si>
  <si>
    <t>L4231</t>
  </si>
  <si>
    <t>L4232</t>
  </si>
  <si>
    <t>L4233</t>
  </si>
  <si>
    <t>L4234</t>
  </si>
  <si>
    <t>L4235</t>
  </si>
  <si>
    <t>L4236</t>
  </si>
  <si>
    <t>L4237</t>
  </si>
  <si>
    <t>L4238</t>
  </si>
  <si>
    <t>L4239</t>
  </si>
  <si>
    <t>L4240</t>
  </si>
  <si>
    <t>L4241</t>
  </si>
  <si>
    <t>L4242</t>
  </si>
  <si>
    <t>L4243</t>
  </si>
  <si>
    <t>L4244</t>
  </si>
  <si>
    <t>L4245</t>
  </si>
  <si>
    <t>L4246</t>
  </si>
  <si>
    <t>L4247</t>
  </si>
  <si>
    <t>L4248</t>
  </si>
  <si>
    <t>L4249</t>
  </si>
  <si>
    <t>L4250</t>
  </si>
  <si>
    <t>L4251</t>
  </si>
  <si>
    <t>L4252</t>
  </si>
  <si>
    <t>L4253</t>
  </si>
  <si>
    <t>L4254</t>
  </si>
  <si>
    <t>L4255</t>
  </si>
  <si>
    <t>L4256</t>
  </si>
  <si>
    <t>L4257</t>
  </si>
  <si>
    <t>L4260</t>
  </si>
  <si>
    <t>L4261</t>
  </si>
  <si>
    <t>L4262</t>
  </si>
  <si>
    <t>L4263</t>
  </si>
  <si>
    <t>L4265</t>
  </si>
  <si>
    <t>L4267</t>
  </si>
  <si>
    <t>L4268</t>
  </si>
  <si>
    <t>V0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</si>
  <si>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</si>
  <si>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</si>
  <si>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</si>
  <si>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</si>
  <si>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</si>
  <si>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</si>
  <si>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</si>
  <si>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</si>
  <si>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</si>
  <si>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</si>
  <si>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</si>
  <si>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</si>
  <si>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</si>
  <si>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</si>
  <si>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</si>
  <si>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</si>
  <si>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</si>
  <si>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</si>
  <si>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</si>
  <si>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</si>
  <si>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</si>
  <si>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</si>
  <si>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</si>
  <si>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</si>
  <si>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</si>
  <si>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</si>
  <si>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</si>
  <si>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</si>
  <si>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</si>
  <si>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</si>
  <si>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</si>
  <si>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</si>
  <si>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</si>
  <si>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</si>
  <si>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</si>
  <si>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</si>
  <si>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</si>
  <si>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</si>
  <si>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</si>
  <si>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</si>
  <si>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</si>
  <si>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</si>
  <si>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</si>
  <si>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</si>
  <si>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</si>
  <si>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</si>
  <si>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</si>
  <si>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</si>
  <si>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</si>
  <si>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</si>
  <si>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</si>
  <si>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</si>
  <si>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</si>
  <si>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</si>
  <si>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</si>
  <si>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</si>
  <si>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</si>
  <si>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</si>
  <si>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</si>
  <si>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</si>
  <si>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</si>
  <si>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</si>
  <si>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</si>
  <si>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</si>
  <si>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</si>
  <si>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</si>
  <si>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</si>
  <si>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</si>
  <si>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</si>
  <si>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</si>
  <si>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</si>
  <si>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</si>
  <si>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</si>
  <si>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</si>
  <si>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</si>
  <si>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</si>
  <si>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</si>
  <si>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</si>
  <si>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</si>
  <si>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</si>
  <si>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</si>
  <si>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</si>
  <si>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</si>
  <si>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</si>
  <si>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</si>
  <si>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</si>
  <si>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</si>
  <si>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</si>
  <si>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</si>
  <si>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</si>
  <si>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</si>
  <si>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</si>
  <si>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</si>
  <si>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</si>
  <si>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</si>
  <si>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</si>
  <si>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</si>
  <si>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</si>
  <si>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</si>
  <si>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</si>
  <si>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</si>
  <si>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</si>
  <si>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</si>
  <si>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</si>
  <si>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</si>
  <si>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</si>
  <si>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</si>
  <si>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</si>
  <si>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</si>
  <si>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</si>
  <si>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</si>
  <si>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</si>
  <si>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</si>
  <si>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</si>
  <si>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</si>
  <si>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</si>
  <si>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</si>
  <si>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</si>
  <si>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</si>
  <si>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</si>
  <si>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</si>
  <si>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</si>
  <si>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</si>
  <si>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</si>
  <si>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</si>
  <si>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</si>
  <si>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</si>
  <si>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</si>
  <si>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</si>
  <si>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</si>
  <si>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</si>
  <si>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V132</t>
  </si>
  <si>
    <t>V133</t>
  </si>
  <si>
    <t>V134</t>
  </si>
  <si>
    <t>V135</t>
  </si>
  <si>
    <t>V136</t>
  </si>
  <si>
    <t>V137</t>
  </si>
  <si>
    <t>V138</t>
  </si>
  <si>
    <t>V139</t>
  </si>
  <si>
    <t>V140</t>
  </si>
  <si>
    <t>V141</t>
  </si>
  <si>
    <t>V142</t>
  </si>
  <si>
    <t>V143</t>
  </si>
  <si>
    <t>V144</t>
  </si>
  <si>
    <t>V145</t>
  </si>
  <si>
    <t>V146</t>
  </si>
  <si>
    <t>V147</t>
  </si>
  <si>
    <t>V148</t>
  </si>
  <si>
    <t>V149</t>
  </si>
  <si>
    <t>V150</t>
  </si>
  <si>
    <t>V151</t>
  </si>
  <si>
    <t>V152</t>
  </si>
  <si>
    <t>V153</t>
  </si>
  <si>
    <t>V154</t>
  </si>
  <si>
    <t>V155</t>
  </si>
  <si>
    <t>V156</t>
  </si>
  <si>
    <t>V157</t>
  </si>
  <si>
    <t>V158</t>
  </si>
  <si>
    <t>V159</t>
  </si>
  <si>
    <t>V160</t>
  </si>
  <si>
    <t>V161</t>
  </si>
  <si>
    <t>V162</t>
  </si>
  <si>
    <t>V163</t>
  </si>
  <si>
    <t>V164</t>
  </si>
  <si>
    <t>V165</t>
  </si>
  <si>
    <t>V166</t>
  </si>
  <si>
    <t>V167</t>
  </si>
  <si>
    <t>V168</t>
  </si>
  <si>
    <t>V169</t>
  </si>
  <si>
    <t>V170</t>
  </si>
  <si>
    <t>V171</t>
  </si>
  <si>
    <t>V172</t>
  </si>
  <si>
    <t>V173</t>
  </si>
  <si>
    <t>V174</t>
  </si>
  <si>
    <t>V175</t>
  </si>
  <si>
    <t>V176</t>
  </si>
  <si>
    <t>V177</t>
  </si>
  <si>
    <t>V178</t>
  </si>
  <si>
    <t>V179</t>
  </si>
  <si>
    <t>V180</t>
  </si>
  <si>
    <t>V181</t>
  </si>
  <si>
    <t>V182</t>
  </si>
  <si>
    <t>V183</t>
  </si>
  <si>
    <t>V184</t>
  </si>
  <si>
    <t>V185</t>
  </si>
  <si>
    <t>V186</t>
  </si>
  <si>
    <t>V187</t>
  </si>
  <si>
    <t>V188</t>
  </si>
  <si>
    <t>V189</t>
  </si>
  <si>
    <t>V190</t>
  </si>
  <si>
    <t>V191</t>
  </si>
  <si>
    <t>V192</t>
  </si>
  <si>
    <t>V193</t>
  </si>
  <si>
    <t>V194</t>
  </si>
  <si>
    <t>V195</t>
  </si>
  <si>
    <t>V196</t>
  </si>
  <si>
    <t>V197</t>
  </si>
  <si>
    <t>V198</t>
  </si>
  <si>
    <t>V199</t>
  </si>
  <si>
    <t>V200</t>
  </si>
  <si>
    <t>V201</t>
  </si>
  <si>
    <t>V202</t>
  </si>
  <si>
    <t>V203</t>
  </si>
  <si>
    <t>V204</t>
  </si>
  <si>
    <t>V205</t>
  </si>
  <si>
    <t>V206</t>
  </si>
  <si>
    <t>V207</t>
  </si>
  <si>
    <t>V208</t>
  </si>
  <si>
    <t>V209</t>
  </si>
  <si>
    <t>V210</t>
  </si>
  <si>
    <t>V211</t>
  </si>
  <si>
    <t>V212</t>
  </si>
  <si>
    <t>V213</t>
  </si>
  <si>
    <t>V214</t>
  </si>
  <si>
    <t>V215</t>
  </si>
  <si>
    <t>V216</t>
  </si>
  <si>
    <t>V217</t>
  </si>
  <si>
    <t>V218</t>
  </si>
  <si>
    <t>V219</t>
  </si>
  <si>
    <t>V220</t>
  </si>
  <si>
    <t>V221</t>
  </si>
  <si>
    <t>V222</t>
  </si>
  <si>
    <t>V223</t>
  </si>
  <si>
    <t>V224</t>
  </si>
  <si>
    <t>V225</t>
  </si>
  <si>
    <t>V226</t>
  </si>
  <si>
    <t>V227</t>
  </si>
  <si>
    <t>V228</t>
  </si>
  <si>
    <t>V229</t>
  </si>
  <si>
    <t>V230</t>
  </si>
  <si>
    <t>V231</t>
  </si>
  <si>
    <t>V232</t>
  </si>
  <si>
    <t>V233</t>
  </si>
  <si>
    <t>V234</t>
  </si>
  <si>
    <t>V235</t>
  </si>
  <si>
    <t>V236</t>
  </si>
  <si>
    <t>V237</t>
  </si>
  <si>
    <t>V238</t>
  </si>
  <si>
    <t>V239</t>
  </si>
  <si>
    <t>V240</t>
  </si>
  <si>
    <t>V241</t>
  </si>
  <si>
    <t>V242</t>
  </si>
  <si>
    <t>V243</t>
  </si>
  <si>
    <t>V244</t>
  </si>
  <si>
    <t>V245</t>
  </si>
  <si>
    <t>V246</t>
  </si>
  <si>
    <t>V247</t>
  </si>
  <si>
    <t>V248</t>
  </si>
  <si>
    <t>V249</t>
  </si>
  <si>
    <t>V250</t>
  </si>
  <si>
    <t>V251</t>
  </si>
  <si>
    <t>V252</t>
  </si>
  <si>
    <t>V253</t>
  </si>
  <si>
    <t>V254</t>
  </si>
  <si>
    <t>V255</t>
  </si>
  <si>
    <t>V256</t>
  </si>
  <si>
    <t>V257</t>
  </si>
  <si>
    <t>V258</t>
  </si>
  <si>
    <t>V259</t>
  </si>
  <si>
    <t>V260</t>
  </si>
  <si>
    <t>V261</t>
  </si>
  <si>
    <t>V262</t>
  </si>
  <si>
    <t>V263</t>
  </si>
  <si>
    <t>V264</t>
  </si>
  <si>
    <t>V265</t>
  </si>
  <si>
    <t>V266</t>
  </si>
  <si>
    <t>V267</t>
  </si>
  <si>
    <t>O0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</si>
  <si>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</si>
  <si>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</si>
  <si>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</si>
  <si>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</si>
  <si>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</si>
  <si>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</si>
  <si>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</si>
  <si>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</si>
  <si>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</si>
  <si>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</si>
  <si>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</si>
  <si>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</si>
  <si>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</si>
  <si>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</si>
  <si>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</si>
  <si>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</si>
  <si>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</si>
  <si>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</si>
  <si>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</si>
  <si>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</si>
  <si>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</si>
  <si>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</si>
  <si>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</si>
  <si>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</si>
  <si>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O25</t>
  </si>
  <si>
    <t>O26</t>
  </si>
  <si>
    <t>O27</t>
  </si>
  <si>
    <t>O28</t>
  </si>
  <si>
    <t>O29</t>
  </si>
  <si>
    <t>O30</t>
  </si>
  <si>
    <t>O31</t>
  </si>
  <si>
    <t>O32</t>
  </si>
  <si>
    <t>O33</t>
  </si>
  <si>
    <t>O34</t>
  </si>
  <si>
    <t>O35</t>
  </si>
  <si>
    <t>O36</t>
  </si>
  <si>
    <t>O37</t>
  </si>
  <si>
    <t>O38</t>
  </si>
  <si>
    <t>O39</t>
  </si>
  <si>
    <t>O40</t>
  </si>
  <si>
    <t>O41</t>
  </si>
  <si>
    <t>O42</t>
  </si>
  <si>
    <t>O43</t>
  </si>
  <si>
    <t>O44</t>
  </si>
  <si>
    <t>O45</t>
  </si>
  <si>
    <t>O46</t>
  </si>
  <si>
    <t>O47</t>
  </si>
  <si>
    <t>O48</t>
  </si>
  <si>
    <t>O49</t>
  </si>
  <si>
    <t>O50</t>
  </si>
  <si>
    <t>O51</t>
  </si>
  <si>
    <t>O52</t>
  </si>
  <si>
    <t>O53</t>
  </si>
  <si>
    <t>O54</t>
  </si>
  <si>
    <t>O55</t>
  </si>
  <si>
    <t>O56</t>
  </si>
  <si>
    <t>O57</t>
  </si>
  <si>
    <t>O58</t>
  </si>
  <si>
    <t>O59</t>
  </si>
  <si>
    <t>O60</t>
  </si>
  <si>
    <t>O61</t>
  </si>
  <si>
    <t>O62</t>
  </si>
  <si>
    <t>O63</t>
  </si>
  <si>
    <t>O64</t>
  </si>
  <si>
    <t>O65</t>
  </si>
  <si>
    <t>O66</t>
  </si>
  <si>
    <t>O67</t>
  </si>
  <si>
    <t>O68</t>
  </si>
  <si>
    <t>O69</t>
  </si>
  <si>
    <t>O70</t>
  </si>
  <si>
    <t>O71</t>
  </si>
  <si>
    <t>O72</t>
  </si>
  <si>
    <t>O73</t>
  </si>
  <si>
    <t>O74</t>
  </si>
  <si>
    <t>O75</t>
  </si>
  <si>
    <t>O76</t>
  </si>
  <si>
    <t>O77</t>
  </si>
  <si>
    <t>O78</t>
  </si>
  <si>
    <t>O79</t>
  </si>
  <si>
    <t>O80</t>
  </si>
  <si>
    <t>O81</t>
  </si>
  <si>
    <t>O82</t>
  </si>
  <si>
    <t>O83</t>
  </si>
  <si>
    <t>O84</t>
  </si>
  <si>
    <t>O85</t>
  </si>
  <si>
    <t>O86</t>
  </si>
  <si>
    <t>O87</t>
  </si>
  <si>
    <t>O88</t>
  </si>
  <si>
    <t>O89</t>
  </si>
  <si>
    <t>O90</t>
  </si>
  <si>
    <t>O91</t>
  </si>
  <si>
    <t>O92</t>
  </si>
  <si>
    <t>O93</t>
  </si>
  <si>
    <t>O94</t>
  </si>
  <si>
    <t>O95</t>
  </si>
  <si>
    <t>O96</t>
  </si>
  <si>
    <t>O97</t>
  </si>
  <si>
    <t>O98</t>
  </si>
  <si>
    <t>O99</t>
  </si>
  <si>
    <t>O100</t>
  </si>
  <si>
    <t>O101</t>
  </si>
  <si>
    <t>O102</t>
  </si>
  <si>
    <t>O103</t>
  </si>
  <si>
    <t>O104</t>
  </si>
  <si>
    <t>O105</t>
  </si>
  <si>
    <t>O106</t>
  </si>
  <si>
    <t>O107</t>
  </si>
  <si>
    <t>O108</t>
  </si>
  <si>
    <t>O109</t>
  </si>
  <si>
    <t>O110</t>
  </si>
  <si>
    <t>O111</t>
  </si>
  <si>
    <t>O112</t>
  </si>
  <si>
    <t>O113</t>
  </si>
  <si>
    <t>O114</t>
  </si>
  <si>
    <t>O115</t>
  </si>
  <si>
    <t>O116</t>
  </si>
  <si>
    <t>O117</t>
  </si>
  <si>
    <t>O118</t>
  </si>
  <si>
    <t>O119</t>
  </si>
  <si>
    <t>O120</t>
  </si>
  <si>
    <t>O121</t>
  </si>
  <si>
    <t>O122</t>
  </si>
  <si>
    <t>O123</t>
  </si>
  <si>
    <t>O124</t>
  </si>
  <si>
    <t>O125</t>
  </si>
  <si>
    <t>O126</t>
  </si>
  <si>
    <t>O127</t>
  </si>
  <si>
    <t>O128</t>
  </si>
  <si>
    <t>O129</t>
  </si>
  <si>
    <t>O130</t>
  </si>
  <si>
    <t>O131</t>
  </si>
  <si>
    <t>O132</t>
  </si>
  <si>
    <t>O133</t>
  </si>
  <si>
    <t>O134</t>
  </si>
  <si>
    <t>O135</t>
  </si>
  <si>
    <t>O136</t>
  </si>
  <si>
    <t>O137</t>
  </si>
  <si>
    <t>O138</t>
  </si>
  <si>
    <t>O139</t>
  </si>
  <si>
    <t>O140</t>
  </si>
  <si>
    <t>O141</t>
  </si>
  <si>
    <t>O142</t>
  </si>
  <si>
    <t>O143</t>
  </si>
  <si>
    <t>O144</t>
  </si>
  <si>
    <t>O145</t>
  </si>
  <si>
    <t>O146</t>
  </si>
  <si>
    <t>O147</t>
  </si>
  <si>
    <t>O148</t>
  </si>
  <si>
    <t>O149</t>
  </si>
  <si>
    <t>O150</t>
  </si>
  <si>
    <t>O151</t>
  </si>
  <si>
    <t>O152</t>
  </si>
  <si>
    <t>O153</t>
  </si>
  <si>
    <t>O154</t>
  </si>
  <si>
    <t>O155</t>
  </si>
  <si>
    <t>O156</t>
  </si>
  <si>
    <t>O157</t>
  </si>
  <si>
    <t>O158</t>
  </si>
  <si>
    <t>O159</t>
  </si>
  <si>
    <t>O160</t>
  </si>
  <si>
    <t>O161</t>
  </si>
  <si>
    <t>O162</t>
  </si>
  <si>
    <t>O163</t>
  </si>
  <si>
    <t>O164</t>
  </si>
  <si>
    <t>O166</t>
  </si>
  <si>
    <t>O167</t>
  </si>
  <si>
    <t>O168</t>
  </si>
  <si>
    <t>O169</t>
  </si>
  <si>
    <t>O170</t>
  </si>
  <si>
    <t>O171</t>
  </si>
  <si>
    <t>O172</t>
  </si>
  <si>
    <t>O173</t>
  </si>
  <si>
    <t>O174</t>
  </si>
  <si>
    <t>O175</t>
  </si>
  <si>
    <t>O176</t>
  </si>
  <si>
    <t>O177</t>
  </si>
  <si>
    <t>O178</t>
  </si>
  <si>
    <t>O179</t>
  </si>
  <si>
    <t>O180</t>
  </si>
  <si>
    <t>O181</t>
  </si>
  <si>
    <t>O182</t>
  </si>
  <si>
    <t>O183</t>
  </si>
  <si>
    <t>O184</t>
  </si>
  <si>
    <t>O185</t>
  </si>
  <si>
    <t>O186</t>
  </si>
  <si>
    <t>O187</t>
  </si>
  <si>
    <t>O188</t>
  </si>
  <si>
    <t>O190</t>
  </si>
  <si>
    <t>O192</t>
  </si>
  <si>
    <t>O197</t>
  </si>
  <si>
    <t>O202</t>
  </si>
  <si>
    <t>O203</t>
  </si>
  <si>
    <t>O208</t>
  </si>
  <si>
    <t>O214</t>
  </si>
  <si>
    <t>O215</t>
  </si>
  <si>
    <t>O217</t>
  </si>
  <si>
    <t>O218</t>
  </si>
  <si>
    <t>O219</t>
  </si>
  <si>
    <t>O220</t>
  </si>
  <si>
    <t>O221</t>
  </si>
  <si>
    <t>O223</t>
  </si>
  <si>
    <t>O269</t>
  </si>
  <si>
    <t>O285</t>
  </si>
  <si>
    <t>O288</t>
  </si>
  <si>
    <t>O289</t>
  </si>
  <si>
    <t>O290</t>
  </si>
  <si>
    <t>O291</t>
  </si>
  <si>
    <t>O298</t>
  </si>
  <si>
    <t>O300</t>
  </si>
  <si>
    <t>O301</t>
  </si>
  <si>
    <t>O302</t>
  </si>
  <si>
    <t>O313</t>
  </si>
  <si>
    <t>O314</t>
  </si>
  <si>
    <t>O315</t>
  </si>
  <si>
    <t>O316</t>
  </si>
  <si>
    <t>O317</t>
  </si>
  <si>
    <t>O318</t>
  </si>
  <si>
    <t>O319</t>
  </si>
  <si>
    <t>O320</t>
  </si>
  <si>
    <t>O321</t>
  </si>
  <si>
    <t>O322</t>
  </si>
  <si>
    <t>O323</t>
  </si>
  <si>
    <t>O324</t>
  </si>
  <si>
    <t>O325</t>
  </si>
  <si>
    <t>O326</t>
  </si>
  <si>
    <t>O327</t>
  </si>
  <si>
    <t>O328</t>
  </si>
  <si>
    <t>O329</t>
  </si>
  <si>
    <t>O330</t>
  </si>
  <si>
    <t>O332</t>
  </si>
  <si>
    <t>O333</t>
  </si>
  <si>
    <t>O334</t>
  </si>
  <si>
    <t>O335</t>
  </si>
  <si>
    <t>O337</t>
  </si>
  <si>
    <t>O338</t>
  </si>
  <si>
    <t>O340</t>
  </si>
  <si>
    <t>O341</t>
  </si>
  <si>
    <t>O343</t>
  </si>
  <si>
    <t>O344</t>
  </si>
  <si>
    <t>O345</t>
  </si>
  <si>
    <t>O346</t>
  </si>
  <si>
    <t>O347</t>
  </si>
  <si>
    <t>O348</t>
  </si>
  <si>
    <t>O349</t>
  </si>
  <si>
    <t>O351</t>
  </si>
  <si>
    <t>O353</t>
  </si>
  <si>
    <t>O357</t>
  </si>
  <si>
    <t>O358</t>
  </si>
  <si>
    <t>O359</t>
  </si>
  <si>
    <t>O360</t>
  </si>
  <si>
    <t>O361</t>
  </si>
  <si>
    <t>O362</t>
  </si>
  <si>
    <t>O363</t>
  </si>
  <si>
    <t>O366</t>
  </si>
  <si>
    <t>O367</t>
  </si>
  <si>
    <t>O368</t>
  </si>
  <si>
    <t>O369</t>
  </si>
  <si>
    <t>O370</t>
  </si>
  <si>
    <t>O371</t>
  </si>
  <si>
    <t>O374</t>
  </si>
  <si>
    <t>O375</t>
  </si>
  <si>
    <t>O376</t>
  </si>
  <si>
    <t>O377</t>
  </si>
  <si>
    <t>O378</t>
  </si>
  <si>
    <t>O379</t>
  </si>
  <si>
    <t>O380</t>
  </si>
  <si>
    <t>O381</t>
  </si>
  <si>
    <t>O382</t>
  </si>
  <si>
    <t>O383</t>
  </si>
  <si>
    <t>O384</t>
  </si>
  <si>
    <t>O385</t>
  </si>
  <si>
    <t>O386</t>
  </si>
  <si>
    <t>O387</t>
  </si>
  <si>
    <t>O388</t>
  </si>
  <si>
    <t>O389</t>
  </si>
  <si>
    <t>O390</t>
  </si>
  <si>
    <t>O391</t>
  </si>
  <si>
    <t>O392</t>
  </si>
  <si>
    <t>O393</t>
  </si>
  <si>
    <t>O394</t>
  </si>
  <si>
    <t>O395</t>
  </si>
  <si>
    <t>O396</t>
  </si>
  <si>
    <t>O397</t>
  </si>
  <si>
    <t>O398</t>
  </si>
  <si>
    <t>O399</t>
  </si>
  <si>
    <t>O400</t>
  </si>
  <si>
    <t>O401</t>
  </si>
  <si>
    <t>O405</t>
  </si>
  <si>
    <t>O407</t>
  </si>
  <si>
    <t>O408</t>
  </si>
  <si>
    <t>O409</t>
  </si>
  <si>
    <t>O412</t>
  </si>
  <si>
    <t>O413</t>
  </si>
  <si>
    <t>O414</t>
  </si>
  <si>
    <t>O415</t>
  </si>
  <si>
    <t>O416</t>
  </si>
  <si>
    <t>O419</t>
  </si>
  <si>
    <t>O420</t>
  </si>
  <si>
    <t>O421</t>
  </si>
  <si>
    <t>O427</t>
  </si>
  <si>
    <t>O431</t>
  </si>
  <si>
    <t>O433</t>
  </si>
  <si>
    <t>O436</t>
  </si>
  <si>
    <t>O437</t>
  </si>
  <si>
    <t>O438</t>
  </si>
  <si>
    <t>O439</t>
  </si>
  <si>
    <t>O440</t>
  </si>
  <si>
    <t>O441</t>
  </si>
  <si>
    <t>O442</t>
  </si>
  <si>
    <t>O443</t>
  </si>
  <si>
    <t>O444</t>
  </si>
  <si>
    <t>O445</t>
  </si>
  <si>
    <t>O448</t>
  </si>
  <si>
    <t>O449</t>
  </si>
  <si>
    <t>O450</t>
  </si>
  <si>
    <t>O451</t>
  </si>
  <si>
    <t>O452</t>
  </si>
  <si>
    <t>O453</t>
  </si>
  <si>
    <t>O454</t>
  </si>
  <si>
    <t>O455</t>
  </si>
  <si>
    <t>O456</t>
  </si>
  <si>
    <t>O457</t>
  </si>
  <si>
    <t>O458</t>
  </si>
  <si>
    <t>O459</t>
  </si>
  <si>
    <t>O460</t>
  </si>
  <si>
    <t>O461</t>
  </si>
  <si>
    <t>O462</t>
  </si>
  <si>
    <t>O463</t>
  </si>
  <si>
    <t>O464</t>
  </si>
  <si>
    <t>O465</t>
  </si>
  <si>
    <t>O466</t>
  </si>
  <si>
    <t>O467</t>
  </si>
  <si>
    <t>O468</t>
  </si>
  <si>
    <t>O469</t>
  </si>
  <si>
    <t>O470</t>
  </si>
  <si>
    <t>O471</t>
  </si>
  <si>
    <t>O472</t>
  </si>
  <si>
    <t>O473</t>
  </si>
  <si>
    <t>O474</t>
  </si>
  <si>
    <t>O475</t>
  </si>
  <si>
    <t>O476</t>
  </si>
  <si>
    <t>O477</t>
  </si>
  <si>
    <t>O478</t>
  </si>
  <si>
    <t>O479</t>
  </si>
  <si>
    <t>O480</t>
  </si>
  <si>
    <t>O481</t>
  </si>
  <si>
    <t>O482</t>
  </si>
  <si>
    <t>O483</t>
  </si>
  <si>
    <t>O484</t>
  </si>
  <si>
    <t>O485</t>
  </si>
  <si>
    <t>O486</t>
  </si>
  <si>
    <t>O487</t>
  </si>
  <si>
    <t>O488</t>
  </si>
  <si>
    <t>O489</t>
  </si>
  <si>
    <t>O490</t>
  </si>
  <si>
    <t>O491</t>
  </si>
  <si>
    <t>O492</t>
  </si>
  <si>
    <t>O493</t>
  </si>
  <si>
    <t>O494</t>
  </si>
  <si>
    <t>O495</t>
  </si>
  <si>
    <t>O496</t>
  </si>
  <si>
    <t>O497</t>
  </si>
  <si>
    <t>O498</t>
  </si>
  <si>
    <t>O499</t>
  </si>
  <si>
    <t>O500</t>
  </si>
  <si>
    <t>O501</t>
  </si>
  <si>
    <t>O502</t>
  </si>
  <si>
    <t>O503</t>
  </si>
  <si>
    <t>O504</t>
  </si>
  <si>
    <t>O505</t>
  </si>
  <si>
    <t>O506</t>
  </si>
  <si>
    <t>O507</t>
  </si>
  <si>
    <t>O508</t>
  </si>
  <si>
    <t>O509</t>
  </si>
  <si>
    <t>O510</t>
  </si>
  <si>
    <t>O511</t>
  </si>
  <si>
    <t>O512</t>
  </si>
  <si>
    <t>O513</t>
  </si>
  <si>
    <t>O514</t>
  </si>
  <si>
    <t>O515</t>
  </si>
  <si>
    <t>O516</t>
  </si>
  <si>
    <t>O517</t>
  </si>
  <si>
    <t>O518</t>
  </si>
  <si>
    <t>O519</t>
  </si>
  <si>
    <t>O520</t>
  </si>
  <si>
    <t>O521</t>
  </si>
  <si>
    <t>O522</t>
  </si>
  <si>
    <t>O523</t>
  </si>
  <si>
    <t>O524</t>
  </si>
  <si>
    <t>O525</t>
  </si>
  <si>
    <t>O526</t>
  </si>
  <si>
    <t>O527</t>
  </si>
  <si>
    <t>O528</t>
  </si>
  <si>
    <t>O529</t>
  </si>
  <si>
    <t>O530</t>
  </si>
  <si>
    <t>O531</t>
  </si>
  <si>
    <t>O532</t>
  </si>
  <si>
    <t>O533</t>
  </si>
  <si>
    <t>O534</t>
  </si>
  <si>
    <t>O535</t>
  </si>
  <si>
    <t>O536</t>
  </si>
  <si>
    <t>O537</t>
  </si>
  <si>
    <t>O538</t>
  </si>
  <si>
    <t>O539</t>
  </si>
  <si>
    <t>O540</t>
  </si>
  <si>
    <t>O541</t>
  </si>
  <si>
    <t>O542</t>
  </si>
  <si>
    <t>O543</t>
  </si>
  <si>
    <t>O544</t>
  </si>
  <si>
    <t>O545</t>
  </si>
  <si>
    <t>O546</t>
  </si>
  <si>
    <t>O547</t>
  </si>
  <si>
    <t>O548</t>
  </si>
  <si>
    <t>O549</t>
  </si>
  <si>
    <t>O550</t>
  </si>
  <si>
    <t>O551</t>
  </si>
  <si>
    <t>O552</t>
  </si>
  <si>
    <t>O553</t>
  </si>
  <si>
    <t>O554</t>
  </si>
  <si>
    <t>O555</t>
  </si>
  <si>
    <t>O556</t>
  </si>
  <si>
    <t>O557</t>
  </si>
  <si>
    <t>O558</t>
  </si>
  <si>
    <t>O559</t>
  </si>
  <si>
    <t>O560</t>
  </si>
  <si>
    <t>O561</t>
  </si>
  <si>
    <t>O562</t>
  </si>
  <si>
    <t>O563</t>
  </si>
  <si>
    <t>O564</t>
  </si>
  <si>
    <t>O565</t>
  </si>
  <si>
    <t>O566</t>
  </si>
  <si>
    <t>O567</t>
  </si>
  <si>
    <t>O568</t>
  </si>
  <si>
    <t>O569</t>
  </si>
  <si>
    <t>O570</t>
  </si>
  <si>
    <t>O571</t>
  </si>
  <si>
    <t>O572</t>
  </si>
  <si>
    <t>O573</t>
  </si>
  <si>
    <t>O574</t>
  </si>
  <si>
    <t>O575</t>
  </si>
  <si>
    <t>O576</t>
  </si>
  <si>
    <t>O577</t>
  </si>
  <si>
    <t>O578</t>
  </si>
  <si>
    <t>O579</t>
  </si>
  <si>
    <t>O580</t>
  </si>
  <si>
    <t>O581</t>
  </si>
  <si>
    <t>O582</t>
  </si>
  <si>
    <t>O583</t>
  </si>
  <si>
    <t>O584</t>
  </si>
  <si>
    <t>O585</t>
  </si>
  <si>
    <t>O586</t>
  </si>
  <si>
    <t>O587</t>
  </si>
  <si>
    <t>O588</t>
  </si>
  <si>
    <t>O589</t>
  </si>
  <si>
    <t>O590</t>
  </si>
  <si>
    <t>O591</t>
  </si>
  <si>
    <t>O592</t>
  </si>
  <si>
    <t>O593</t>
  </si>
  <si>
    <t>O594</t>
  </si>
  <si>
    <t>O595</t>
  </si>
  <si>
    <t>O596</t>
  </si>
  <si>
    <t>O597</t>
  </si>
  <si>
    <t>O598</t>
  </si>
  <si>
    <t>O599</t>
  </si>
  <si>
    <t>O600</t>
  </si>
  <si>
    <t>O601</t>
  </si>
  <si>
    <t>O602</t>
  </si>
  <si>
    <t>O603</t>
  </si>
  <si>
    <t>O604</t>
  </si>
  <si>
    <t>O605</t>
  </si>
  <si>
    <t>O606</t>
  </si>
  <si>
    <t>O607</t>
  </si>
  <si>
    <t>O608</t>
  </si>
  <si>
    <t>O609</t>
  </si>
  <si>
    <t>O610</t>
  </si>
  <si>
    <t>O611</t>
  </si>
  <si>
    <t>O612</t>
  </si>
  <si>
    <t>O613</t>
  </si>
  <si>
    <t>O614</t>
  </si>
  <si>
    <t>O615</t>
  </si>
  <si>
    <t>O616</t>
  </si>
  <si>
    <t>O617</t>
  </si>
  <si>
    <t>O618</t>
  </si>
  <si>
    <t>O619</t>
  </si>
  <si>
    <t>O620</t>
  </si>
  <si>
    <t>O621</t>
  </si>
  <si>
    <t>O622</t>
  </si>
  <si>
    <t>O623</t>
  </si>
  <si>
    <t>O624</t>
  </si>
  <si>
    <t>O625</t>
  </si>
  <si>
    <t>O626</t>
  </si>
  <si>
    <t>O627</t>
  </si>
  <si>
    <t>O628</t>
  </si>
  <si>
    <t>O629</t>
  </si>
  <si>
    <t>O630</t>
  </si>
  <si>
    <t>O631</t>
  </si>
  <si>
    <t>O632</t>
  </si>
  <si>
    <t>O633</t>
  </si>
  <si>
    <t>O634</t>
  </si>
  <si>
    <t>O635</t>
  </si>
  <si>
    <t>O636</t>
  </si>
  <si>
    <t>O637</t>
  </si>
  <si>
    <t>O638</t>
  </si>
  <si>
    <t>O639</t>
  </si>
  <si>
    <t>O640</t>
  </si>
  <si>
    <t>O641</t>
  </si>
  <si>
    <t>O642</t>
  </si>
  <si>
    <t>O643</t>
  </si>
  <si>
    <t>O644</t>
  </si>
  <si>
    <t>O645</t>
  </si>
  <si>
    <t>O646</t>
  </si>
  <si>
    <t>O647</t>
  </si>
  <si>
    <t>O649</t>
  </si>
  <si>
    <t>O650</t>
  </si>
  <si>
    <t>O651</t>
  </si>
  <si>
    <t>O652</t>
  </si>
  <si>
    <t>O653</t>
  </si>
  <si>
    <t>O654</t>
  </si>
  <si>
    <t>O655</t>
  </si>
  <si>
    <t>O656</t>
  </si>
  <si>
    <t>O657</t>
  </si>
  <si>
    <t>O658</t>
  </si>
  <si>
    <t>O659</t>
  </si>
  <si>
    <t>O660</t>
  </si>
  <si>
    <t>O661</t>
  </si>
  <si>
    <t>O662</t>
  </si>
  <si>
    <t>O663</t>
  </si>
  <si>
    <t>O664</t>
  </si>
  <si>
    <t>O665</t>
  </si>
  <si>
    <t>O666</t>
  </si>
  <si>
    <t>O667</t>
  </si>
  <si>
    <t>O668</t>
  </si>
  <si>
    <t>O669</t>
  </si>
  <si>
    <t>O670</t>
  </si>
  <si>
    <t>O671</t>
  </si>
  <si>
    <t>O672</t>
  </si>
  <si>
    <t>O673</t>
  </si>
  <si>
    <t>O674</t>
  </si>
  <si>
    <t>O675</t>
  </si>
  <si>
    <t>O676</t>
  </si>
  <si>
    <t>O677</t>
  </si>
  <si>
    <t>O678</t>
  </si>
  <si>
    <t>O679</t>
  </si>
  <si>
    <t>O680</t>
  </si>
  <si>
    <t>O681</t>
  </si>
  <si>
    <t>O682</t>
  </si>
  <si>
    <t>O683</t>
  </si>
  <si>
    <t>O684</t>
  </si>
  <si>
    <t>O685</t>
  </si>
  <si>
    <t>O686</t>
  </si>
  <si>
    <t>O687</t>
  </si>
  <si>
    <t>O688</t>
  </si>
  <si>
    <t>O689</t>
  </si>
  <si>
    <t>O690</t>
  </si>
  <si>
    <t>O691</t>
  </si>
  <si>
    <t>O692</t>
  </si>
  <si>
    <t>O693</t>
  </si>
  <si>
    <t>O694</t>
  </si>
  <si>
    <t>O695</t>
  </si>
  <si>
    <t>O696</t>
  </si>
  <si>
    <t>O697</t>
  </si>
  <si>
    <t>O699</t>
  </si>
  <si>
    <t>O700</t>
  </si>
  <si>
    <t>O701</t>
  </si>
  <si>
    <t>O702</t>
  </si>
  <si>
    <t>O703</t>
  </si>
  <si>
    <t>O704</t>
  </si>
  <si>
    <t>O705</t>
  </si>
  <si>
    <t>O706</t>
  </si>
  <si>
    <t>O707</t>
  </si>
  <si>
    <t>O708</t>
  </si>
  <si>
    <t>O709</t>
  </si>
  <si>
    <t>O710</t>
  </si>
  <si>
    <t>O711</t>
  </si>
  <si>
    <t>O712</t>
  </si>
  <si>
    <t>O713</t>
  </si>
  <si>
    <t>O714</t>
  </si>
  <si>
    <t>O715</t>
  </si>
  <si>
    <t>O717</t>
  </si>
  <si>
    <t>O718</t>
  </si>
  <si>
    <t>O719</t>
  </si>
  <si>
    <t>O720</t>
  </si>
  <si>
    <t>O721</t>
  </si>
  <si>
    <t>O722</t>
  </si>
  <si>
    <t>O723</t>
  </si>
  <si>
    <t>O724</t>
  </si>
  <si>
    <t>O725</t>
  </si>
  <si>
    <t>O726</t>
  </si>
  <si>
    <t>O727</t>
  </si>
  <si>
    <t>O728</t>
  </si>
  <si>
    <t>O729</t>
  </si>
  <si>
    <t>O730</t>
  </si>
  <si>
    <t>O731</t>
  </si>
  <si>
    <t>O732</t>
  </si>
  <si>
    <t>O733</t>
  </si>
  <si>
    <t>O734</t>
  </si>
  <si>
    <t>O735</t>
  </si>
  <si>
    <t>O736</t>
  </si>
  <si>
    <t>O737</t>
  </si>
  <si>
    <t>O738</t>
  </si>
  <si>
    <t>O739</t>
  </si>
  <si>
    <t>O740</t>
  </si>
  <si>
    <t>O741</t>
  </si>
  <si>
    <t>O742</t>
  </si>
  <si>
    <t>O743</t>
  </si>
  <si>
    <t>O744</t>
  </si>
  <si>
    <t>O745</t>
  </si>
  <si>
    <t>O746</t>
  </si>
  <si>
    <t>O747</t>
  </si>
  <si>
    <t>O748</t>
  </si>
  <si>
    <t>O749</t>
  </si>
  <si>
    <t>O750</t>
  </si>
  <si>
    <t>O751</t>
  </si>
  <si>
    <t>O752</t>
  </si>
  <si>
    <t>O753</t>
  </si>
  <si>
    <t>O754</t>
  </si>
  <si>
    <t>O755</t>
  </si>
  <si>
    <t>O756</t>
  </si>
  <si>
    <t>O757</t>
  </si>
  <si>
    <t>O758</t>
  </si>
  <si>
    <t>O759</t>
  </si>
  <si>
    <t>O760</t>
  </si>
  <si>
    <t>O761</t>
  </si>
  <si>
    <t>O762</t>
  </si>
  <si>
    <t>O763</t>
  </si>
  <si>
    <t>O764</t>
  </si>
  <si>
    <t>O765</t>
  </si>
  <si>
    <t>O766</t>
  </si>
  <si>
    <t>O767</t>
  </si>
  <si>
    <t>O768</t>
  </si>
  <si>
    <t>O769</t>
  </si>
  <si>
    <t>O770</t>
  </si>
  <si>
    <t>O771</t>
  </si>
  <si>
    <t>O772</t>
  </si>
  <si>
    <t>O773</t>
  </si>
  <si>
    <t>O774</t>
  </si>
  <si>
    <t>O775</t>
  </si>
  <si>
    <t>O776</t>
  </si>
  <si>
    <t>O777</t>
  </si>
  <si>
    <t>O778</t>
  </si>
  <si>
    <t>O779</t>
  </si>
  <si>
    <t>O780</t>
  </si>
  <si>
    <t>O781</t>
  </si>
  <si>
    <t>O782</t>
  </si>
  <si>
    <t>O783</t>
  </si>
  <si>
    <t>O784</t>
  </si>
  <si>
    <t>O785</t>
  </si>
  <si>
    <t>O786</t>
  </si>
  <si>
    <t>O787</t>
  </si>
  <si>
    <t>O788</t>
  </si>
  <si>
    <t>O789</t>
  </si>
  <si>
    <t>O790</t>
  </si>
  <si>
    <t>O791</t>
  </si>
  <si>
    <t>O792</t>
  </si>
  <si>
    <t>O793</t>
  </si>
  <si>
    <t>O794</t>
  </si>
  <si>
    <t>O795</t>
  </si>
  <si>
    <t>O796</t>
  </si>
  <si>
    <t>O797</t>
  </si>
  <si>
    <t>O799</t>
  </si>
  <si>
    <t>O800</t>
  </si>
  <si>
    <t>O801</t>
  </si>
  <si>
    <t>O802</t>
  </si>
  <si>
    <t>O803</t>
  </si>
  <si>
    <t>O804</t>
  </si>
  <si>
    <t>O805</t>
  </si>
  <si>
    <t>O806</t>
  </si>
  <si>
    <t>O807</t>
  </si>
  <si>
    <t>O808</t>
  </si>
  <si>
    <t>O809</t>
  </si>
  <si>
    <t>O810</t>
  </si>
  <si>
    <t>O811</t>
  </si>
  <si>
    <t>O812</t>
  </si>
  <si>
    <t>O813</t>
  </si>
  <si>
    <t>O814</t>
  </si>
  <si>
    <t>O815</t>
  </si>
  <si>
    <t>O816</t>
  </si>
  <si>
    <t>O817</t>
  </si>
  <si>
    <t>O818</t>
  </si>
  <si>
    <t>O819</t>
  </si>
  <si>
    <t>O820</t>
  </si>
  <si>
    <t>O821</t>
  </si>
  <si>
    <t>O822</t>
  </si>
  <si>
    <t>O823</t>
  </si>
  <si>
    <t>O824</t>
  </si>
  <si>
    <t>O825</t>
  </si>
  <si>
    <t>O826</t>
  </si>
  <si>
    <t>O827</t>
  </si>
  <si>
    <t>O828</t>
  </si>
  <si>
    <t>O829</t>
  </si>
  <si>
    <t>O830</t>
  </si>
  <si>
    <t>O831</t>
  </si>
  <si>
    <t>O832</t>
  </si>
  <si>
    <t>O833</t>
  </si>
  <si>
    <t>O834</t>
  </si>
  <si>
    <t>O835</t>
  </si>
  <si>
    <t>O836</t>
  </si>
  <si>
    <t>O837</t>
  </si>
  <si>
    <t>O838</t>
  </si>
  <si>
    <t>O839</t>
  </si>
  <si>
    <t>O840</t>
  </si>
  <si>
    <t>O841</t>
  </si>
  <si>
    <t>O842</t>
  </si>
  <si>
    <t>O843</t>
  </si>
  <si>
    <t>O844</t>
  </si>
  <si>
    <t>O845</t>
  </si>
  <si>
    <t>O846</t>
  </si>
  <si>
    <t>O847</t>
  </si>
  <si>
    <t>O848</t>
  </si>
  <si>
    <t>O849</t>
  </si>
  <si>
    <t>O850</t>
  </si>
  <si>
    <t>O851</t>
  </si>
  <si>
    <t>O852</t>
  </si>
  <si>
    <t>O853</t>
  </si>
  <si>
    <t>O854</t>
  </si>
  <si>
    <t>O855</t>
  </si>
  <si>
    <t>O856</t>
  </si>
  <si>
    <t>O857</t>
  </si>
  <si>
    <t>O858</t>
  </si>
  <si>
    <t>O859</t>
  </si>
  <si>
    <t>O860</t>
  </si>
  <si>
    <t>O861</t>
  </si>
  <si>
    <t>O862</t>
  </si>
  <si>
    <t>O863</t>
  </si>
  <si>
    <t>O864</t>
  </si>
  <si>
    <t>O865</t>
  </si>
  <si>
    <t>O866</t>
  </si>
  <si>
    <t>O867</t>
  </si>
  <si>
    <t>O868</t>
  </si>
  <si>
    <t>O869</t>
  </si>
  <si>
    <t>O870</t>
  </si>
  <si>
    <t>O871</t>
  </si>
  <si>
    <t>O872</t>
  </si>
  <si>
    <t>O873</t>
  </si>
  <si>
    <t>O874</t>
  </si>
  <si>
    <t>O875</t>
  </si>
  <si>
    <t>O876</t>
  </si>
  <si>
    <t>O877</t>
  </si>
  <si>
    <t>O878</t>
  </si>
  <si>
    <t>O879</t>
  </si>
  <si>
    <t>O880</t>
  </si>
  <si>
    <t>O881</t>
  </si>
  <si>
    <t>O882</t>
  </si>
  <si>
    <t>O883</t>
  </si>
  <si>
    <t>O884</t>
  </si>
  <si>
    <t>O885</t>
  </si>
  <si>
    <t>O886</t>
  </si>
  <si>
    <t>O887</t>
  </si>
  <si>
    <t>O888</t>
  </si>
  <si>
    <t>O889</t>
  </si>
  <si>
    <t>O890</t>
  </si>
  <si>
    <t>O891</t>
  </si>
  <si>
    <t>O892</t>
  </si>
  <si>
    <t>O893</t>
  </si>
  <si>
    <t>O894</t>
  </si>
  <si>
    <t>O895</t>
  </si>
  <si>
    <t>O896</t>
  </si>
  <si>
    <t>O897</t>
  </si>
  <si>
    <t>O898</t>
  </si>
  <si>
    <t>O899</t>
  </si>
  <si>
    <t>O900</t>
  </si>
  <si>
    <t>O901</t>
  </si>
  <si>
    <t>O902</t>
  </si>
  <si>
    <t>O903</t>
  </si>
  <si>
    <t>O904</t>
  </si>
  <si>
    <t>O905</t>
  </si>
  <si>
    <t>O906</t>
  </si>
  <si>
    <t>O907</t>
  </si>
  <si>
    <t>O908</t>
  </si>
  <si>
    <t>O909</t>
  </si>
  <si>
    <t>O910</t>
  </si>
  <si>
    <t>O911</t>
  </si>
  <si>
    <t>O912</t>
  </si>
  <si>
    <t>O913</t>
  </si>
  <si>
    <t>O914</t>
  </si>
  <si>
    <t>O915</t>
  </si>
  <si>
    <t>O916</t>
  </si>
  <si>
    <t>O917</t>
  </si>
  <si>
    <t>O918</t>
  </si>
  <si>
    <t>O919</t>
  </si>
  <si>
    <t>O920</t>
  </si>
  <si>
    <t>O921</t>
  </si>
  <si>
    <t>O922</t>
  </si>
  <si>
    <t>O923</t>
  </si>
  <si>
    <t>O924</t>
  </si>
  <si>
    <t>O925</t>
  </si>
  <si>
    <t>O926</t>
  </si>
  <si>
    <t>O927</t>
  </si>
  <si>
    <t>O928</t>
  </si>
  <si>
    <t>O929</t>
  </si>
  <si>
    <t>O930</t>
  </si>
  <si>
    <t>O931</t>
  </si>
  <si>
    <t>O932</t>
  </si>
  <si>
    <t>O933</t>
  </si>
  <si>
    <t>O934</t>
  </si>
  <si>
    <t>O935</t>
  </si>
  <si>
    <t>O936</t>
  </si>
  <si>
    <t>O937</t>
  </si>
  <si>
    <t>O938</t>
  </si>
  <si>
    <t>O939</t>
  </si>
  <si>
    <t>O940</t>
  </si>
  <si>
    <t>O941</t>
  </si>
  <si>
    <t>O942</t>
  </si>
  <si>
    <t>O943</t>
  </si>
  <si>
    <t>O944</t>
  </si>
  <si>
    <t>O945</t>
  </si>
  <si>
    <t>O946</t>
  </si>
  <si>
    <t>O947</t>
  </si>
  <si>
    <t>O948</t>
  </si>
  <si>
    <t>O949</t>
  </si>
  <si>
    <t>O950</t>
  </si>
  <si>
    <t>O951</t>
  </si>
  <si>
    <t>O952</t>
  </si>
  <si>
    <t>O953</t>
  </si>
  <si>
    <t>O954</t>
  </si>
  <si>
    <t>O955</t>
  </si>
  <si>
    <t>O956</t>
  </si>
  <si>
    <t>O957</t>
  </si>
  <si>
    <t>O958</t>
  </si>
  <si>
    <t>O960</t>
  </si>
  <si>
    <t>O961</t>
  </si>
  <si>
    <t>O962</t>
  </si>
  <si>
    <t>O963</t>
  </si>
  <si>
    <t>O964</t>
  </si>
  <si>
    <t>O965</t>
  </si>
  <si>
    <t>O966</t>
  </si>
  <si>
    <t>O967</t>
  </si>
  <si>
    <t>O968</t>
  </si>
  <si>
    <t>O969</t>
  </si>
  <si>
    <t>O970</t>
  </si>
  <si>
    <t>O971</t>
  </si>
  <si>
    <t>O972</t>
  </si>
  <si>
    <t>O973</t>
  </si>
  <si>
    <t>O974</t>
  </si>
  <si>
    <t>O975</t>
  </si>
  <si>
    <t>O976</t>
  </si>
  <si>
    <t>O977</t>
  </si>
  <si>
    <t>O978</t>
  </si>
  <si>
    <t>O979</t>
  </si>
  <si>
    <t>O980</t>
  </si>
  <si>
    <t>O981</t>
  </si>
  <si>
    <t>O982</t>
  </si>
  <si>
    <t>O983</t>
  </si>
  <si>
    <t>O984</t>
  </si>
  <si>
    <t>O985</t>
  </si>
  <si>
    <t>O986</t>
  </si>
  <si>
    <t>O987</t>
  </si>
  <si>
    <t>O988</t>
  </si>
  <si>
    <t>O989</t>
  </si>
  <si>
    <t>O990</t>
  </si>
  <si>
    <t>O991</t>
  </si>
  <si>
    <t>O992</t>
  </si>
  <si>
    <t>O993</t>
  </si>
  <si>
    <t>O994</t>
  </si>
  <si>
    <t>O995</t>
  </si>
  <si>
    <t>O996</t>
  </si>
  <si>
    <t>O997</t>
  </si>
  <si>
    <t>O998</t>
  </si>
  <si>
    <t>O999</t>
  </si>
  <si>
    <t>O1000</t>
  </si>
  <si>
    <t>O1001</t>
  </si>
  <si>
    <t>O1002</t>
  </si>
  <si>
    <t>O1003</t>
  </si>
  <si>
    <t>O1004</t>
  </si>
  <si>
    <t>O1005</t>
  </si>
  <si>
    <t>O1006</t>
  </si>
  <si>
    <t>O1007</t>
  </si>
  <si>
    <t>O1008</t>
  </si>
  <si>
    <t>O1009</t>
  </si>
  <si>
    <t>O1010</t>
  </si>
  <si>
    <t>O1011</t>
  </si>
  <si>
    <t>O1012</t>
  </si>
  <si>
    <t>O1013</t>
  </si>
  <si>
    <t>O1014</t>
  </si>
  <si>
    <t>O1015</t>
  </si>
  <si>
    <t>O1016</t>
  </si>
  <si>
    <t>O1017</t>
  </si>
  <si>
    <t>O1018</t>
  </si>
  <si>
    <t>O1019</t>
  </si>
  <si>
    <t>O1020</t>
  </si>
  <si>
    <t>O1021</t>
  </si>
  <si>
    <t>O1022</t>
  </si>
  <si>
    <t>O1023</t>
  </si>
  <si>
    <t>O1024</t>
  </si>
  <si>
    <t>O1025</t>
  </si>
  <si>
    <t>O1026</t>
  </si>
  <si>
    <t>O1028</t>
  </si>
  <si>
    <t>O1029</t>
  </si>
  <si>
    <t>O1030</t>
  </si>
  <si>
    <t>O1031</t>
  </si>
  <si>
    <t>O1032</t>
  </si>
  <si>
    <t>O1033</t>
  </si>
  <si>
    <t>O1034</t>
  </si>
  <si>
    <t>O1035</t>
  </si>
  <si>
    <t>O1036</t>
  </si>
  <si>
    <t>O1037</t>
  </si>
  <si>
    <t>O1038</t>
  </si>
  <si>
    <t>O1039</t>
  </si>
  <si>
    <t>O1040</t>
  </si>
  <si>
    <t>O1041</t>
  </si>
  <si>
    <t>O1042</t>
  </si>
  <si>
    <t>O1043</t>
  </si>
  <si>
    <t>O1044</t>
  </si>
  <si>
    <t>O1045</t>
  </si>
  <si>
    <t>O1046</t>
  </si>
  <si>
    <t>O1047</t>
  </si>
  <si>
    <t>O1048</t>
  </si>
  <si>
    <t>O1050</t>
  </si>
  <si>
    <t>O1051</t>
  </si>
  <si>
    <t>O1052</t>
  </si>
  <si>
    <t>O1053</t>
  </si>
  <si>
    <t>O1054</t>
  </si>
  <si>
    <t>O1056</t>
  </si>
  <si>
    <t>O1057</t>
  </si>
  <si>
    <t>O1058</t>
  </si>
  <si>
    <t>O1059</t>
  </si>
  <si>
    <t>O1060</t>
  </si>
  <si>
    <t>O1061</t>
  </si>
  <si>
    <t>O1063</t>
  </si>
  <si>
    <t>O1064</t>
  </si>
  <si>
    <t>O1065</t>
  </si>
  <si>
    <t>O1066</t>
  </si>
  <si>
    <t>O1067</t>
  </si>
  <si>
    <t>O1068</t>
  </si>
  <si>
    <t>O1070</t>
  </si>
  <si>
    <t>O1071</t>
  </si>
  <si>
    <t>O1072</t>
  </si>
  <si>
    <t>O1073</t>
  </si>
  <si>
    <t>O1074</t>
  </si>
  <si>
    <t>O1075</t>
  </si>
  <si>
    <t>O1076</t>
  </si>
  <si>
    <t>O1077</t>
  </si>
  <si>
    <t>O1078</t>
  </si>
  <si>
    <t>O1079</t>
  </si>
  <si>
    <t>O1080</t>
  </si>
  <si>
    <t>O1081</t>
  </si>
  <si>
    <t>O1082</t>
  </si>
  <si>
    <t>O1083</t>
  </si>
  <si>
    <t>O1084</t>
  </si>
  <si>
    <t>O1085</t>
  </si>
  <si>
    <t>O1086</t>
  </si>
  <si>
    <t>O1087</t>
  </si>
  <si>
    <t>O1088</t>
  </si>
  <si>
    <t>O1089</t>
  </si>
  <si>
    <t>O1090</t>
  </si>
  <si>
    <t>O1091</t>
  </si>
  <si>
    <t>O1093</t>
  </si>
  <si>
    <t>O1094</t>
  </si>
  <si>
    <t>O1095</t>
  </si>
  <si>
    <t>O1096</t>
  </si>
  <si>
    <t>O1098</t>
  </si>
  <si>
    <t>O1099</t>
  </si>
  <si>
    <t>O1100</t>
  </si>
  <si>
    <t>O1101</t>
  </si>
  <si>
    <t>O1102</t>
  </si>
  <si>
    <t>O1103</t>
  </si>
  <si>
    <t>O1104</t>
  </si>
  <si>
    <t>O1105</t>
  </si>
  <si>
    <t>O1106</t>
  </si>
  <si>
    <t>O1107</t>
  </si>
  <si>
    <t>O1108</t>
  </si>
  <si>
    <t>O1109</t>
  </si>
  <si>
    <t>O1110</t>
  </si>
  <si>
    <t>O1111</t>
  </si>
  <si>
    <t>O1112</t>
  </si>
  <si>
    <t>O1113</t>
  </si>
  <si>
    <t>O1114</t>
  </si>
  <si>
    <t>O1115</t>
  </si>
  <si>
    <t>O1116</t>
  </si>
  <si>
    <t>O1117</t>
  </si>
  <si>
    <t>O1118</t>
  </si>
  <si>
    <t>O1119</t>
  </si>
  <si>
    <t>O1120</t>
  </si>
  <si>
    <t>O1121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</si>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</sst>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92"/>
  <sheetViews>
    <sheetView tabSelected="1" topLeftCell="A100" workbookViewId="0">
      <selection activeCell="D101" sqref="D101"/>
    </sheetView>
  </sheetViews>
  <sheetFormatPr defaultRowHeight="14.25" x14ac:dyDescent="0.45"/>
  <sheetData>
    <row r="1" spans="1:4" x14ac:dyDescent="0.45">
      <c r="A1" t="s">
        <v>0</v>
      </c>
      <c r="B1" t="s">
        <v>1</v>
      </c>
      <c r="C1" t="s">
        <v>2</v>
      </c>
      <c r="D1" t="s">
        <v>5495</v>
      </c>
    </row>
    <row r="2" spans="1:4" x14ac:dyDescent="0.45">
      <c r="A2" t="s">
        <v>3</v>
      </c>
      <c r="B2">
        <v>34.498140100000001</v>
      </c>
      <c r="C2">
        <v>-118.11782530000001</v>
      </c>
      <c r="D2" t="str">
        <f>HYPERLINK("https://lh5.googleusercontent.com/p/AF1QipPmFbp-yYMAzMyJLFyo46Oxzlk_kyLnX2aYT3fW=w408-h255-k-no", "link")</f>
        <v>link</v>
      </c>
    </row>
    <row r="3" spans="1:4" x14ac:dyDescent="0.45">
      <c r="A3" t="s">
        <v>4</v>
      </c>
      <c r="B3">
        <v>34.498400099999998</v>
      </c>
      <c r="C3">
        <v>-118.1186685</v>
      </c>
      <c r="D3" t="s">
        <v>5</v>
      </c>
    </row>
    <row r="4" spans="1:4" x14ac:dyDescent="0.45">
      <c r="A4" t="s">
        <v>6</v>
      </c>
      <c r="B4">
        <v>34.510623500000001</v>
      </c>
      <c r="C4">
        <v>-118.1105432</v>
      </c>
      <c r="D4" t="str">
        <f>HYPERLINK("https://lh5.googleusercontent.com/p/AF1QipPyaBZCC_3GDvoT2b5Ht1n2X47bbUwVWckNsktK=w503-h240-k-no", "link")</f>
        <v>link</v>
      </c>
    </row>
    <row r="5" spans="1:4" x14ac:dyDescent="0.45">
      <c r="A5" t="s">
        <v>7</v>
      </c>
      <c r="B5">
        <v>34.538958399999999</v>
      </c>
      <c r="C5">
        <v>-118.0843395</v>
      </c>
      <c r="D5" t="str">
        <f>HYPERLINK("https://lh5.googleusercontent.com/p/AF1QipNbuHEtec6hL-z4HLYV4KfKidIrgIkX-Ct5SJEu=w408-h306-k-no", "link")</f>
        <v>link</v>
      </c>
    </row>
    <row r="6" spans="1:4" x14ac:dyDescent="0.45">
      <c r="A6" t="s">
        <v>8</v>
      </c>
      <c r="B6">
        <v>34.557418599999998</v>
      </c>
      <c r="C6">
        <v>-118.1289579</v>
      </c>
      <c r="D6" t="str">
        <f>HYPERLINK("https://lh5.googleusercontent.com/p/AF1QipMgYgLRJ6rHwnXZhaDiJFzHgIQkRX79Y6gtEK9b=w408-h245-k-no", "link")</f>
        <v>link</v>
      </c>
    </row>
    <row r="7" spans="1:4" x14ac:dyDescent="0.45">
      <c r="A7" t="s">
        <v>9</v>
      </c>
      <c r="B7">
        <v>34.557670000000002</v>
      </c>
      <c r="C7">
        <v>-118.1289422</v>
      </c>
      <c r="D7" t="str">
        <f>HYPERLINK("https://streetviewpixels-pa.googleapis.com/v1/thumbnail?panoid=Vpk6jG-sTBIMbTErfB_ILw&amp;cb_client=search.gws-prod.gps&amp;w=408&amp;h=240&amp;yaw=321.65024&amp;pitch=0&amp;thumbfov=100", "link")</f>
        <v>link</v>
      </c>
    </row>
    <row r="8" spans="1:4" x14ac:dyDescent="0.45">
      <c r="A8" t="s">
        <v>10</v>
      </c>
      <c r="B8">
        <v>34.557827199999998</v>
      </c>
      <c r="C8">
        <v>-118.12977960000001</v>
      </c>
      <c r="D8" t="s">
        <v>5</v>
      </c>
    </row>
    <row r="9" spans="1:4" x14ac:dyDescent="0.45">
      <c r="A9" t="s">
        <v>11</v>
      </c>
      <c r="B9">
        <v>34.556667899999901</v>
      </c>
      <c r="C9">
        <v>-118.13848539999999</v>
      </c>
      <c r="D9" t="str">
        <f>HYPERLINK("https://streetviewpixels-pa.googleapis.com/v1/thumbnail?panoid=iFDPNBy32_ijXhDKUdC-lg&amp;cb_client=search.gws-prod.gps&amp;w=408&amp;h=240&amp;yaw=245.2588&amp;pitch=0&amp;thumbfov=100", "link")</f>
        <v>link</v>
      </c>
    </row>
    <row r="10" spans="1:4" x14ac:dyDescent="0.45">
      <c r="A10" t="s">
        <v>12</v>
      </c>
      <c r="B10">
        <v>34.557904200000003</v>
      </c>
      <c r="C10">
        <v>-118.1355128</v>
      </c>
      <c r="D10" t="str">
        <f>HYPERLINK("https://streetviewpixels-pa.googleapis.com/v1/thumbnail?panoid=zTdHimSEnX9H-_LLdGhBWg&amp;cb_client=search.gws-prod.gps&amp;w=408&amp;h=240&amp;yaw=177.48871&amp;pitch=0&amp;thumbfov=100", "link")</f>
        <v>link</v>
      </c>
    </row>
    <row r="11" spans="1:4" x14ac:dyDescent="0.45">
      <c r="A11" t="s">
        <v>13</v>
      </c>
      <c r="B11">
        <v>34.568717300000003</v>
      </c>
      <c r="C11">
        <v>-118.1001318</v>
      </c>
      <c r="D11" t="str">
        <f>HYPERLINK("https://streetviewpixels-pa.googleapis.com/v1/thumbnail?panoid=QBDP8Z5aIfiERtBgNSkVNQ&amp;cb_client=search.gws-prod.gps&amp;w=408&amp;h=240&amp;yaw=154.897&amp;pitch=0&amp;thumbfov=100", "link")</f>
        <v>link</v>
      </c>
    </row>
    <row r="12" spans="1:4" x14ac:dyDescent="0.45">
      <c r="A12" t="s">
        <v>14</v>
      </c>
      <c r="B12">
        <v>34.568883399999997</v>
      </c>
      <c r="C12">
        <v>-118.13760929999999</v>
      </c>
      <c r="D12" t="str">
        <f>HYPERLINK("https://lh5.googleusercontent.com/p/AF1QipPV6DiP8w2ZE55mFuc256KU-nOvQzfEKnKKbu2C=w408-h306-k-no", "link")</f>
        <v>link</v>
      </c>
    </row>
    <row r="13" spans="1:4" x14ac:dyDescent="0.45">
      <c r="A13" t="s">
        <v>15</v>
      </c>
      <c r="B13">
        <v>34.568927799999997</v>
      </c>
      <c r="C13">
        <v>-118.138193</v>
      </c>
      <c r="D13" t="str">
        <f>HYPERLINK("https://streetviewpixels-pa.googleapis.com/v1/thumbnail?panoid=kjwxj6jLqbRCPLe_hXkoZg&amp;cb_client=search.gws-prod.gps&amp;w=408&amp;h=240&amp;yaw=120.66439&amp;pitch=0&amp;thumbfov=100", "link")</f>
        <v>link</v>
      </c>
    </row>
    <row r="14" spans="1:4" x14ac:dyDescent="0.45">
      <c r="A14" t="s">
        <v>16</v>
      </c>
      <c r="B14">
        <v>34.565907000000003</v>
      </c>
      <c r="C14">
        <v>-118.07097880000001</v>
      </c>
      <c r="D14" t="str">
        <f>HYPERLINK("https://streetviewpixels-pa.googleapis.com/v1/thumbnail?panoid=J8__YtLNdpNC1hqFPSu67A&amp;cb_client=search.gws-prod.gps&amp;w=408&amp;h=240&amp;yaw=352.7568&amp;pitch=0&amp;thumbfov=100", "link")</f>
        <v>link</v>
      </c>
    </row>
    <row r="15" spans="1:4" x14ac:dyDescent="0.45">
      <c r="A15" t="s">
        <v>17</v>
      </c>
      <c r="B15">
        <v>34.5906077</v>
      </c>
      <c r="C15">
        <v>-118.1194337</v>
      </c>
      <c r="D15" t="s">
        <v>5</v>
      </c>
    </row>
    <row r="16" spans="1:4" x14ac:dyDescent="0.45">
      <c r="A16" t="s">
        <v>18</v>
      </c>
      <c r="B16">
        <v>34.590387200000002</v>
      </c>
      <c r="C16">
        <v>-118.1204972</v>
      </c>
      <c r="D16" t="s">
        <v>5</v>
      </c>
    </row>
    <row r="17" spans="1:4" x14ac:dyDescent="0.45">
      <c r="A17" t="s">
        <v>19</v>
      </c>
      <c r="B17">
        <v>34.590340500000003</v>
      </c>
      <c r="C17">
        <v>-118.1219602</v>
      </c>
      <c r="D17" t="s">
        <v>5</v>
      </c>
    </row>
    <row r="18" spans="1:4" x14ac:dyDescent="0.45">
      <c r="A18" t="s">
        <v>20</v>
      </c>
      <c r="B18">
        <v>34.591523500000001</v>
      </c>
      <c r="C18">
        <v>-118.12232590000001</v>
      </c>
      <c r="D18" t="s">
        <v>5</v>
      </c>
    </row>
    <row r="19" spans="1:4" x14ac:dyDescent="0.45">
      <c r="A19" t="s">
        <v>21</v>
      </c>
      <c r="B19">
        <v>34.579056700000002</v>
      </c>
      <c r="C19">
        <v>-118.09303199999999</v>
      </c>
      <c r="D19" t="str">
        <f>HYPERLINK("https://streetviewpixels-pa.googleapis.com/v1/thumbnail?panoid=iBE7sD1TIbX3eA5cfvE76w&amp;cb_client=search.gws-prod.gps&amp;w=408&amp;h=240&amp;yaw=11.677558&amp;pitch=0&amp;thumbfov=100", "link")</f>
        <v>link</v>
      </c>
    </row>
    <row r="20" spans="1:4" x14ac:dyDescent="0.45">
      <c r="A20" t="s">
        <v>22</v>
      </c>
      <c r="B20">
        <v>34.5804391</v>
      </c>
      <c r="C20">
        <v>-118.0923118</v>
      </c>
      <c r="D20" t="str">
        <f>HYPERLINK("https://streetviewpixels-pa.googleapis.com/v1/thumbnail?panoid=ma8Z9hmRK3Hdeih-M6QP-w&amp;cb_client=search.gws-prod.gps&amp;w=408&amp;h=240&amp;yaw=247.1605&amp;pitch=0&amp;thumbfov=100", "link")</f>
        <v>link</v>
      </c>
    </row>
    <row r="21" spans="1:4" x14ac:dyDescent="0.45">
      <c r="A21" t="s">
        <v>23</v>
      </c>
      <c r="B21">
        <v>34.580262500000003</v>
      </c>
      <c r="C21">
        <v>-118.0964652</v>
      </c>
      <c r="D21" t="str">
        <f>HYPERLINK("https://streetviewpixels-pa.googleapis.com/v1/thumbnail?panoid=50ME757vDQECU7YdNQ5Btw&amp;cb_client=search.gws-prod.gps&amp;w=408&amp;h=240&amp;yaw=318.60184&amp;pitch=0&amp;thumbfov=100", "link")</f>
        <v>link</v>
      </c>
    </row>
    <row r="22" spans="1:4" x14ac:dyDescent="0.45">
      <c r="A22" t="s">
        <v>24</v>
      </c>
      <c r="B22">
        <v>34.580571599999999</v>
      </c>
      <c r="C22">
        <v>-118.110123</v>
      </c>
      <c r="D22" t="str">
        <f>HYPERLINK("https://streetviewpixels-pa.googleapis.com/v1/thumbnail?panoid=-zgxQMiu1N87fe2runauZg&amp;cb_client=search.gws-prod.gps&amp;w=408&amp;h=240&amp;yaw=85.113495&amp;pitch=0&amp;thumbfov=100", "link")</f>
        <v>link</v>
      </c>
    </row>
    <row r="23" spans="1:4" x14ac:dyDescent="0.45">
      <c r="A23" t="s">
        <v>25</v>
      </c>
      <c r="B23">
        <v>34.580359600000001</v>
      </c>
      <c r="C23">
        <v>-118.11957510000001</v>
      </c>
      <c r="D23" t="str">
        <f>HYPERLINK("https://streetviewpixels-pa.googleapis.com/v1/thumbnail?panoid=6BWagfvP5QKcXW-5LP7Twg&amp;cb_client=search.gws-prod.gps&amp;w=408&amp;h=240&amp;yaw=87.99134&amp;pitch=0&amp;thumbfov=100", "link")</f>
        <v>link</v>
      </c>
    </row>
    <row r="24" spans="1:4" x14ac:dyDescent="0.45">
      <c r="A24" t="s">
        <v>26</v>
      </c>
      <c r="B24">
        <v>34.579304</v>
      </c>
      <c r="C24">
        <v>-118.126109</v>
      </c>
      <c r="D24" t="s">
        <v>5</v>
      </c>
    </row>
    <row r="25" spans="1:4" x14ac:dyDescent="0.45">
      <c r="A25" t="s">
        <v>27</v>
      </c>
      <c r="B25">
        <v>34.1657127</v>
      </c>
      <c r="C25">
        <v>-118.83273079999999</v>
      </c>
      <c r="D25" t="str">
        <f>HYPERLINK("https://streetviewpixels-pa.googleapis.com/v1/thumbnail?panoid=97KzpbBVp-Tkl_3gojbgbA&amp;cb_client=search.gws-prod.gps&amp;w=408&amp;h=240&amp;yaw=225.07426&amp;pitch=0&amp;thumbfov=100", "link")</f>
        <v>link</v>
      </c>
    </row>
    <row r="26" spans="1:4" x14ac:dyDescent="0.45">
      <c r="A26" t="s">
        <v>28</v>
      </c>
      <c r="B26">
        <v>34.082100099999998</v>
      </c>
      <c r="C26">
        <v>-118.758471</v>
      </c>
      <c r="D26" t="str">
        <f>HYPERLINK("https://lh5.googleusercontent.com/p/AF1QipPkTwUvebRUzHXJ7l8-8T41tTotsq9EP_vE6J1T=w408-h240-k-no-pi-0-ya13.000002-ro-0-fo100", "link")</f>
        <v>link</v>
      </c>
    </row>
    <row r="27" spans="1:4" x14ac:dyDescent="0.45">
      <c r="A27" t="s">
        <v>29</v>
      </c>
      <c r="B27">
        <v>34.1453419999999</v>
      </c>
      <c r="C27">
        <v>-118.7607067</v>
      </c>
      <c r="D27" t="s">
        <v>5</v>
      </c>
    </row>
    <row r="28" spans="1:4" x14ac:dyDescent="0.45">
      <c r="A28" t="s">
        <v>30</v>
      </c>
      <c r="B28">
        <v>34.145369199999998</v>
      </c>
      <c r="C28">
        <v>-118.7607026</v>
      </c>
      <c r="D28" t="s">
        <v>5</v>
      </c>
    </row>
    <row r="29" spans="1:4" x14ac:dyDescent="0.45">
      <c r="A29" t="s">
        <v>31</v>
      </c>
      <c r="B29">
        <v>34.146965899999998</v>
      </c>
      <c r="C29">
        <v>-118.76152690000001</v>
      </c>
      <c r="D29" t="str">
        <f>HYPERLINK("https://streetviewpixels-pa.googleapis.com/v1/thumbnail?panoid=DHAzsVTIfXQTCPJURKUADw&amp;cb_client=search.gws-prod.gps&amp;w=408&amp;h=240&amp;yaw=223.94832&amp;pitch=0&amp;thumbfov=100", "link")</f>
        <v>link</v>
      </c>
    </row>
    <row r="30" spans="1:4" x14ac:dyDescent="0.45">
      <c r="A30" t="s">
        <v>32</v>
      </c>
      <c r="B30">
        <v>34.155396000000003</v>
      </c>
      <c r="C30">
        <v>-118.7573324</v>
      </c>
      <c r="D30" t="str">
        <f>HYPERLINK("https://streetviewpixels-pa.googleapis.com/v1/thumbnail?panoid=6LGVtNtLbSGYZEKNlQodVg&amp;cb_client=search.gws-prod.gps&amp;w=408&amp;h=240&amp;yaw=233.42384&amp;pitch=0&amp;thumbfov=100", "link")</f>
        <v>link</v>
      </c>
    </row>
    <row r="31" spans="1:4" x14ac:dyDescent="0.45">
      <c r="A31" t="s">
        <v>33</v>
      </c>
      <c r="B31">
        <v>34.150075000000001</v>
      </c>
      <c r="C31">
        <v>-118.7484968</v>
      </c>
      <c r="D31" t="s">
        <v>5</v>
      </c>
    </row>
    <row r="32" spans="1:4" x14ac:dyDescent="0.45">
      <c r="A32" t="s">
        <v>34</v>
      </c>
      <c r="B32">
        <v>34.156125600000003</v>
      </c>
      <c r="C32">
        <v>-118.7310063</v>
      </c>
      <c r="D32" t="s">
        <v>5</v>
      </c>
    </row>
    <row r="33" spans="1:4" x14ac:dyDescent="0.45">
      <c r="A33" t="s">
        <v>35</v>
      </c>
      <c r="B33">
        <v>34.155586300000003</v>
      </c>
      <c r="C33">
        <v>-118.7989079</v>
      </c>
      <c r="D33" t="str">
        <f>HYPERLINK("https://streetviewpixels-pa.googleapis.com/v1/thumbnail?panoid=F9_4AKIvpTod-04pmXyW9g&amp;cb_client=search.gws-prod.gps&amp;w=408&amp;h=240&amp;yaw=113.822685&amp;pitch=0&amp;thumbfov=100", "link")</f>
        <v>link</v>
      </c>
    </row>
    <row r="34" spans="1:4" x14ac:dyDescent="0.45">
      <c r="A34" t="s">
        <v>36</v>
      </c>
      <c r="B34">
        <v>34.181973699999901</v>
      </c>
      <c r="C34">
        <v>-118.7694449</v>
      </c>
      <c r="D34" t="s">
        <v>5</v>
      </c>
    </row>
    <row r="35" spans="1:4" x14ac:dyDescent="0.45">
      <c r="A35" t="s">
        <v>37</v>
      </c>
      <c r="B35">
        <v>34.182062000000002</v>
      </c>
      <c r="C35">
        <v>-118.769492</v>
      </c>
      <c r="D35" t="s">
        <v>5</v>
      </c>
    </row>
    <row r="36" spans="1:4" x14ac:dyDescent="0.45">
      <c r="A36" t="s">
        <v>38</v>
      </c>
      <c r="B36">
        <v>34.151698000000003</v>
      </c>
      <c r="C36">
        <v>-118.807422</v>
      </c>
      <c r="D36" t="s">
        <v>5</v>
      </c>
    </row>
    <row r="37" spans="1:4" x14ac:dyDescent="0.45">
      <c r="A37" t="s">
        <v>39</v>
      </c>
      <c r="B37">
        <v>34.1521629</v>
      </c>
      <c r="C37">
        <v>-118.8096212</v>
      </c>
      <c r="D37" t="s">
        <v>5</v>
      </c>
    </row>
    <row r="38" spans="1:4" x14ac:dyDescent="0.45">
      <c r="A38" t="s">
        <v>40</v>
      </c>
      <c r="B38">
        <v>34.147548999999998</v>
      </c>
      <c r="C38">
        <v>-118.819396</v>
      </c>
      <c r="D38" t="str">
        <f>HYPERLINK("https://streetviewpixels-pa.googleapis.com/v1/thumbnail?panoid=PcuOrVq3tEjcIHPhA49hSg&amp;cb_client=search.gws-prod.gps&amp;w=408&amp;h=240&amp;yaw=354.7853&amp;pitch=0&amp;thumbfov=100", "link")</f>
        <v>link</v>
      </c>
    </row>
    <row r="39" spans="1:4" x14ac:dyDescent="0.45">
      <c r="A39" t="s">
        <v>41</v>
      </c>
      <c r="B39">
        <v>34.1473114</v>
      </c>
      <c r="C39">
        <v>-118.82023580000001</v>
      </c>
      <c r="D39" t="str">
        <f>HYPERLINK("https://streetviewpixels-pa.googleapis.com/v1/thumbnail?panoid=Iwu9PhIhuRIvMyAXBg3z3w&amp;cb_client=search.gws-prod.gps&amp;w=408&amp;h=240&amp;yaw=285.143&amp;pitch=0&amp;thumbfov=100", "link")</f>
        <v>link</v>
      </c>
    </row>
    <row r="40" spans="1:4" x14ac:dyDescent="0.45">
      <c r="A40" t="s">
        <v>42</v>
      </c>
      <c r="B40">
        <v>34.104351899999997</v>
      </c>
      <c r="C40">
        <v>-118.7087233</v>
      </c>
      <c r="D40" t="str">
        <f>HYPERLINK("https://lh5.googleusercontent.com/p/AF1QipMh5itwUfqXH4CFFiwo0nO1wIcCPVJWLrT0jh4A=w427-h240-k-no", "link")</f>
        <v>link</v>
      </c>
    </row>
    <row r="41" spans="1:4" x14ac:dyDescent="0.45">
      <c r="A41" t="s">
        <v>43</v>
      </c>
      <c r="B41">
        <v>34.159875999999997</v>
      </c>
      <c r="C41">
        <v>-118.830735</v>
      </c>
      <c r="D41" t="s">
        <v>5</v>
      </c>
    </row>
    <row r="42" spans="1:4" x14ac:dyDescent="0.45">
      <c r="A42" t="s">
        <v>44</v>
      </c>
      <c r="B42">
        <v>34.099243700000002</v>
      </c>
      <c r="C42">
        <v>-118.7141517</v>
      </c>
      <c r="D42" t="s">
        <v>5</v>
      </c>
    </row>
    <row r="43" spans="1:4" x14ac:dyDescent="0.45">
      <c r="A43" t="s">
        <v>45</v>
      </c>
      <c r="B43">
        <v>34.0990678</v>
      </c>
      <c r="C43">
        <v>-118.7142746</v>
      </c>
      <c r="D43" t="s">
        <v>5</v>
      </c>
    </row>
    <row r="44" spans="1:4" x14ac:dyDescent="0.45">
      <c r="A44" t="s">
        <v>46</v>
      </c>
      <c r="B44">
        <v>34.097184599999999</v>
      </c>
      <c r="C44">
        <v>-118.71597389999999</v>
      </c>
      <c r="D44" t="s">
        <v>5</v>
      </c>
    </row>
    <row r="45" spans="1:4" x14ac:dyDescent="0.45">
      <c r="A45" t="s">
        <v>47</v>
      </c>
      <c r="B45">
        <v>34.099140900000002</v>
      </c>
      <c r="C45">
        <v>-118.7128305</v>
      </c>
      <c r="D45" t="s">
        <v>5</v>
      </c>
    </row>
    <row r="46" spans="1:4" x14ac:dyDescent="0.45">
      <c r="A46" t="s">
        <v>48</v>
      </c>
      <c r="B46">
        <v>34.097815400000002</v>
      </c>
      <c r="C46">
        <v>-118.7136505</v>
      </c>
      <c r="D46" t="s">
        <v>5</v>
      </c>
    </row>
    <row r="47" spans="1:4" x14ac:dyDescent="0.45">
      <c r="A47" t="s">
        <v>49</v>
      </c>
      <c r="B47">
        <v>34.087323099999999</v>
      </c>
      <c r="C47">
        <v>-118.1145538</v>
      </c>
      <c r="D47" t="s">
        <v>5</v>
      </c>
    </row>
    <row r="48" spans="1:4" x14ac:dyDescent="0.45">
      <c r="A48" t="s">
        <v>50</v>
      </c>
      <c r="B48">
        <v>34.099149099999998</v>
      </c>
      <c r="C48">
        <v>-118.1099605</v>
      </c>
      <c r="D48" t="str">
        <f>HYPERLINK("https://streetviewpixels-pa.googleapis.com/v1/thumbnail?panoid=8ZEHdQ_ek45J_UZmlhM19g&amp;cb_client=search.gws-prod.gps&amp;w=408&amp;h=240&amp;yaw=255.09937&amp;pitch=0&amp;thumbfov=100", "link")</f>
        <v>link</v>
      </c>
    </row>
    <row r="49" spans="1:4" x14ac:dyDescent="0.45">
      <c r="A49" t="s">
        <v>51</v>
      </c>
      <c r="B49">
        <v>34.091271599999899</v>
      </c>
      <c r="C49">
        <v>-118.14103830000001</v>
      </c>
      <c r="D49" t="str">
        <f>HYPERLINK("https://streetviewpixels-pa.googleapis.com/v1/thumbnail?panoid=54yvERy_nAMPiMnpBRyZVg&amp;cb_client=search.gws-prod.gps&amp;w=408&amp;h=240&amp;yaw=152.65039&amp;pitch=0&amp;thumbfov=100", "link")</f>
        <v>link</v>
      </c>
    </row>
    <row r="50" spans="1:4" x14ac:dyDescent="0.45">
      <c r="A50" t="s">
        <v>52</v>
      </c>
      <c r="B50">
        <v>34.099088399999999</v>
      </c>
      <c r="C50">
        <v>-118.1089303</v>
      </c>
      <c r="D50" t="s">
        <v>5</v>
      </c>
    </row>
    <row r="51" spans="1:4" x14ac:dyDescent="0.45">
      <c r="A51" t="s">
        <v>53</v>
      </c>
      <c r="B51">
        <v>34.090433400000002</v>
      </c>
      <c r="C51">
        <v>-118.1087931</v>
      </c>
      <c r="D51" t="s">
        <v>5</v>
      </c>
    </row>
    <row r="52" spans="1:4" x14ac:dyDescent="0.45">
      <c r="A52" t="s">
        <v>54</v>
      </c>
      <c r="B52">
        <v>34.099173100000002</v>
      </c>
      <c r="C52">
        <v>-118.1084273</v>
      </c>
      <c r="D52" t="s">
        <v>5</v>
      </c>
    </row>
    <row r="53" spans="1:4" x14ac:dyDescent="0.45">
      <c r="A53" t="s">
        <v>55</v>
      </c>
      <c r="B53">
        <v>34.077978499999901</v>
      </c>
      <c r="C53">
        <v>-118.12048249999999</v>
      </c>
      <c r="D53" t="str">
        <f>HYPERLINK("https://streetviewpixels-pa.googleapis.com/v1/thumbnail?panoid=3kqy5SkU3Z19QenLg_nUcQ&amp;cb_client=search.gws-prod.gps&amp;w=408&amp;h=240&amp;yaw=115.467415&amp;pitch=0&amp;thumbfov=100", "link")</f>
        <v>link</v>
      </c>
    </row>
    <row r="54" spans="1:4" x14ac:dyDescent="0.45">
      <c r="A54" t="s">
        <v>56</v>
      </c>
      <c r="B54">
        <v>34.094683799999999</v>
      </c>
      <c r="C54">
        <v>-118.1251737</v>
      </c>
      <c r="D54" t="str">
        <f>HYPERLINK("https://streetviewpixels-pa.googleapis.com/v1/thumbnail?panoid=bZnchzNkNi9ZTBP-mt3H3A&amp;cb_client=search.gws-prod.gps&amp;w=408&amp;h=240&amp;yaw=358.57922&amp;pitch=0&amp;thumbfov=100", "link")</f>
        <v>link</v>
      </c>
    </row>
    <row r="55" spans="1:4" x14ac:dyDescent="0.45">
      <c r="A55" t="s">
        <v>57</v>
      </c>
      <c r="B55">
        <v>34.093893100000003</v>
      </c>
      <c r="C55">
        <v>-118.1269255</v>
      </c>
      <c r="D55" t="s">
        <v>5</v>
      </c>
    </row>
    <row r="56" spans="1:4" x14ac:dyDescent="0.45">
      <c r="A56" t="s">
        <v>58</v>
      </c>
      <c r="B56">
        <v>34.096098400000002</v>
      </c>
      <c r="C56">
        <v>-118.1262552</v>
      </c>
      <c r="D56" t="str">
        <f>HYPERLINK("https://streetviewpixels-pa.googleapis.com/v1/thumbnail?panoid=W3HR0aO4fqWYv0-1-htPVw&amp;cb_client=search.gws-prod.gps&amp;w=408&amp;h=240&amp;yaw=341.80676&amp;pitch=0&amp;thumbfov=100", "link")</f>
        <v>link</v>
      </c>
    </row>
    <row r="57" spans="1:4" x14ac:dyDescent="0.45">
      <c r="A57" t="s">
        <v>59</v>
      </c>
      <c r="B57">
        <v>34.096453199999999</v>
      </c>
      <c r="C57">
        <v>-118.1255261</v>
      </c>
      <c r="D57" t="s">
        <v>5</v>
      </c>
    </row>
    <row r="58" spans="1:4" x14ac:dyDescent="0.45">
      <c r="A58" t="s">
        <v>60</v>
      </c>
      <c r="B58">
        <v>34.096523599999998</v>
      </c>
      <c r="C58">
        <v>-118.1254797</v>
      </c>
      <c r="D58" t="s">
        <v>5</v>
      </c>
    </row>
    <row r="59" spans="1:4" x14ac:dyDescent="0.45">
      <c r="A59" t="s">
        <v>61</v>
      </c>
      <c r="B59">
        <v>34.096663399999997</v>
      </c>
      <c r="C59">
        <v>-118.1269223</v>
      </c>
      <c r="D59" t="str">
        <f>HYPERLINK("https://streetviewpixels-pa.googleapis.com/v1/thumbnail?panoid=HyIOPAL-m0ZIN5PPxRkLtw&amp;cb_client=search.gws-prod.gps&amp;w=408&amp;h=240&amp;yaw=157.79309&amp;pitch=0&amp;thumbfov=100", "link")</f>
        <v>link</v>
      </c>
    </row>
    <row r="60" spans="1:4" x14ac:dyDescent="0.45">
      <c r="A60" t="s">
        <v>62</v>
      </c>
      <c r="B60">
        <v>34.0970587999999</v>
      </c>
      <c r="C60">
        <v>-118.1242017</v>
      </c>
      <c r="D60" t="str">
        <f>HYPERLINK("https://streetviewpixels-pa.googleapis.com/v1/thumbnail?panoid=e0ZiaZ-VqBLPCiaT1Zi8vQ&amp;cb_client=search.gws-prod.gps&amp;w=408&amp;h=240&amp;yaw=187.54439&amp;pitch=0&amp;thumbfov=100", "link")</f>
        <v>link</v>
      </c>
    </row>
    <row r="61" spans="1:4" x14ac:dyDescent="0.45">
      <c r="A61" t="s">
        <v>63</v>
      </c>
      <c r="B61">
        <v>34.095432599999903</v>
      </c>
      <c r="C61">
        <v>-118.1281099</v>
      </c>
      <c r="D61" t="str">
        <f>HYPERLINK("https://streetviewpixels-pa.googleapis.com/v1/thumbnail?panoid=1jcLAesyo-IPeQS6ulaU9w&amp;cb_client=search.gws-prod.gps&amp;w=408&amp;h=240&amp;yaw=65.87454&amp;pitch=0&amp;thumbfov=100", "link")</f>
        <v>link</v>
      </c>
    </row>
    <row r="62" spans="1:4" x14ac:dyDescent="0.45">
      <c r="A62" t="s">
        <v>64</v>
      </c>
      <c r="B62">
        <v>34.096251100000003</v>
      </c>
      <c r="C62">
        <v>-118.1227026</v>
      </c>
      <c r="D62" t="str">
        <f>HYPERLINK("https://streetviewpixels-pa.googleapis.com/v1/thumbnail?panoid=US8XKq4uRjvvDzCmYf1lkQ&amp;cb_client=search.gws-prod.gps&amp;w=408&amp;h=240&amp;yaw=78.48226&amp;pitch=0&amp;thumbfov=100", "link")</f>
        <v>link</v>
      </c>
    </row>
    <row r="63" spans="1:4" x14ac:dyDescent="0.45">
      <c r="A63" t="s">
        <v>65</v>
      </c>
      <c r="B63">
        <v>34.095349599999999</v>
      </c>
      <c r="C63">
        <v>-118.12879</v>
      </c>
      <c r="D63" t="str">
        <f>HYPERLINK("https://streetviewpixels-pa.googleapis.com/v1/thumbnail?panoid=ow1IofxcxYUVPc2NNIa0LQ&amp;cb_client=search.gws-prod.gps&amp;w=408&amp;h=240&amp;yaw=231.4775&amp;pitch=0&amp;thumbfov=100", "link")</f>
        <v>link</v>
      </c>
    </row>
    <row r="64" spans="1:4" x14ac:dyDescent="0.45">
      <c r="A64" t="s">
        <v>66</v>
      </c>
      <c r="B64">
        <v>34.0910139</v>
      </c>
      <c r="C64">
        <v>-118.1260893</v>
      </c>
      <c r="D64" t="str">
        <f>HYPERLINK("https://streetviewpixels-pa.googleapis.com/v1/thumbnail?panoid=ec11o9MNK2ltSuP7JsM3rg&amp;cb_client=search.gws-prod.gps&amp;w=408&amp;h=240&amp;yaw=157.09105&amp;pitch=0&amp;thumbfov=100", "link")</f>
        <v>link</v>
      </c>
    </row>
    <row r="65" spans="1:4" x14ac:dyDescent="0.45">
      <c r="A65" t="s">
        <v>67</v>
      </c>
      <c r="B65">
        <v>34.0905518</v>
      </c>
      <c r="C65">
        <v>-118.1257098</v>
      </c>
      <c r="D65" t="str">
        <f>HYPERLINK("https://lh5.googleusercontent.com/p/AF1QipPwQ0u5wDRVt5qfDiD1E46d34BDN4toI3o7NH1l=w408-h544-k-no", "link")</f>
        <v>link</v>
      </c>
    </row>
    <row r="66" spans="1:4" x14ac:dyDescent="0.45">
      <c r="A66" t="s">
        <v>68</v>
      </c>
      <c r="B66">
        <v>34.093238100000001</v>
      </c>
      <c r="C66">
        <v>-118.1299625</v>
      </c>
      <c r="D66" t="str">
        <f>HYPERLINK("https://streetviewpixels-pa.googleapis.com/v1/thumbnail?panoid=HxA2AtEZV3LLMjkDZLhoGA&amp;cb_client=search.gws-prod.gps&amp;w=408&amp;h=240&amp;yaw=142.48364&amp;pitch=0&amp;thumbfov=100", "link")</f>
        <v>link</v>
      </c>
    </row>
    <row r="67" spans="1:4" x14ac:dyDescent="0.45">
      <c r="A67" t="s">
        <v>69</v>
      </c>
      <c r="B67">
        <v>34.090769299999998</v>
      </c>
      <c r="C67">
        <v>-118.118257</v>
      </c>
      <c r="D67" t="s">
        <v>5</v>
      </c>
    </row>
    <row r="68" spans="1:4" x14ac:dyDescent="0.45">
      <c r="A68" t="s">
        <v>70</v>
      </c>
      <c r="B68">
        <v>34.091579299999999</v>
      </c>
      <c r="C68">
        <v>-118.1172512</v>
      </c>
      <c r="D68" t="s">
        <v>5</v>
      </c>
    </row>
    <row r="69" spans="1:4" x14ac:dyDescent="0.45">
      <c r="A69" t="s">
        <v>71</v>
      </c>
      <c r="B69">
        <v>34.090819199999999</v>
      </c>
      <c r="C69">
        <v>-118.11757129999999</v>
      </c>
      <c r="D69" t="s">
        <v>5</v>
      </c>
    </row>
    <row r="70" spans="1:4" x14ac:dyDescent="0.45">
      <c r="A70" t="s">
        <v>72</v>
      </c>
      <c r="B70">
        <v>34.089867499999997</v>
      </c>
      <c r="C70">
        <v>-118.11656549999999</v>
      </c>
      <c r="D70" t="s">
        <v>5</v>
      </c>
    </row>
    <row r="71" spans="1:4" x14ac:dyDescent="0.45">
      <c r="A71" t="s">
        <v>73</v>
      </c>
      <c r="B71">
        <v>34.090492099999999</v>
      </c>
      <c r="C71">
        <v>-118.1350983</v>
      </c>
      <c r="D71" t="s">
        <v>5</v>
      </c>
    </row>
    <row r="72" spans="1:4" x14ac:dyDescent="0.45">
      <c r="A72" t="s">
        <v>74</v>
      </c>
      <c r="B72">
        <v>34.088060300000002</v>
      </c>
      <c r="C72">
        <v>-118.1167483</v>
      </c>
      <c r="D72" t="s">
        <v>5</v>
      </c>
    </row>
    <row r="73" spans="1:4" x14ac:dyDescent="0.45">
      <c r="A73" t="s">
        <v>75</v>
      </c>
      <c r="B73">
        <v>34.086984399999999</v>
      </c>
      <c r="C73">
        <v>-118.11656549999999</v>
      </c>
      <c r="D73" t="s">
        <v>5</v>
      </c>
    </row>
    <row r="74" spans="1:4" x14ac:dyDescent="0.45">
      <c r="A74" t="s">
        <v>76</v>
      </c>
      <c r="B74">
        <v>34.089936399999999</v>
      </c>
      <c r="C74">
        <v>-118.1461785</v>
      </c>
      <c r="D74" t="str">
        <f>HYPERLINK("https://streetviewpixels-pa.googleapis.com/v1/thumbnail?panoid=yoM4yECc_sBjDnCsstB8XA&amp;cb_client=search.gws-prod.gps&amp;w=408&amp;h=240&amp;yaw=123.056366&amp;pitch=0&amp;thumbfov=100", "link")</f>
        <v>link</v>
      </c>
    </row>
    <row r="75" spans="1:4" x14ac:dyDescent="0.45">
      <c r="A75" t="s">
        <v>77</v>
      </c>
      <c r="B75">
        <v>34.083266899999998</v>
      </c>
      <c r="C75">
        <v>-118.1499369</v>
      </c>
      <c r="D75" t="s">
        <v>5</v>
      </c>
    </row>
    <row r="76" spans="1:4" x14ac:dyDescent="0.45">
      <c r="A76" t="s">
        <v>78</v>
      </c>
      <c r="B76">
        <v>34.080063899999999</v>
      </c>
      <c r="C76">
        <v>-118.1499369</v>
      </c>
      <c r="D76" t="s">
        <v>5</v>
      </c>
    </row>
    <row r="77" spans="1:4" x14ac:dyDescent="0.45">
      <c r="A77" t="s">
        <v>79</v>
      </c>
      <c r="B77">
        <v>34.103794399999998</v>
      </c>
      <c r="C77">
        <v>-118.1512625</v>
      </c>
      <c r="D77" t="str">
        <f>HYPERLINK("https://streetviewpixels-pa.googleapis.com/v1/thumbnail?panoid=s5GdYa7pXbGJqQHEzm-7pQ&amp;cb_client=search.gws-prod.gps&amp;w=408&amp;h=240&amp;yaw=192.10625&amp;pitch=0&amp;thumbfov=100", "link")</f>
        <v>link</v>
      </c>
    </row>
    <row r="78" spans="1:4" x14ac:dyDescent="0.45">
      <c r="A78" t="s">
        <v>80</v>
      </c>
      <c r="B78">
        <v>34.0633774</v>
      </c>
      <c r="C78">
        <v>-118.12158580000001</v>
      </c>
      <c r="D78" t="str">
        <f>HYPERLINK("https://streetviewpixels-pa.googleapis.com/v1/thumbnail?panoid=gRAPWe9Om5EBYhhnAOiPvw&amp;cb_client=search.gws-prod.gps&amp;w=408&amp;h=240&amp;yaw=319.02408&amp;pitch=0&amp;thumbfov=100", "link")</f>
        <v>link</v>
      </c>
    </row>
    <row r="79" spans="1:4" x14ac:dyDescent="0.45">
      <c r="A79" t="s">
        <v>81</v>
      </c>
      <c r="B79">
        <v>34.063000799999998</v>
      </c>
      <c r="C79">
        <v>-118.1212287</v>
      </c>
      <c r="D79" t="s">
        <v>5</v>
      </c>
    </row>
    <row r="80" spans="1:4" x14ac:dyDescent="0.45">
      <c r="A80" t="s">
        <v>82</v>
      </c>
      <c r="B80">
        <v>34.063236500000002</v>
      </c>
      <c r="C80">
        <v>-118.1241546</v>
      </c>
      <c r="D80" t="s">
        <v>5</v>
      </c>
    </row>
    <row r="81" spans="1:4" x14ac:dyDescent="0.45">
      <c r="A81" t="s">
        <v>83</v>
      </c>
      <c r="B81">
        <v>34.062837600000002</v>
      </c>
      <c r="C81">
        <v>-118.11752559999999</v>
      </c>
      <c r="D81" t="s">
        <v>5</v>
      </c>
    </row>
    <row r="82" spans="1:4" x14ac:dyDescent="0.45">
      <c r="A82" t="s">
        <v>84</v>
      </c>
      <c r="B82">
        <v>34.062707699999997</v>
      </c>
      <c r="C82">
        <v>-118.1182113</v>
      </c>
      <c r="D82" t="s">
        <v>5</v>
      </c>
    </row>
    <row r="83" spans="1:4" x14ac:dyDescent="0.45">
      <c r="A83" t="s">
        <v>85</v>
      </c>
      <c r="B83">
        <v>34.0629268</v>
      </c>
      <c r="C83">
        <v>-118.1165197</v>
      </c>
      <c r="D83" t="s">
        <v>5</v>
      </c>
    </row>
    <row r="84" spans="1:4" x14ac:dyDescent="0.45">
      <c r="A84" t="s">
        <v>86</v>
      </c>
      <c r="B84">
        <v>34.062704600000004</v>
      </c>
      <c r="C84">
        <v>-118.1169312</v>
      </c>
      <c r="D84" t="s">
        <v>5</v>
      </c>
    </row>
    <row r="85" spans="1:4" x14ac:dyDescent="0.45">
      <c r="A85" t="s">
        <v>87</v>
      </c>
      <c r="B85">
        <v>34.0628618</v>
      </c>
      <c r="C85">
        <v>-118.11565109999999</v>
      </c>
      <c r="D85" t="s">
        <v>5</v>
      </c>
    </row>
    <row r="86" spans="1:4" x14ac:dyDescent="0.45">
      <c r="A86" t="s">
        <v>88</v>
      </c>
      <c r="B86">
        <v>34.062075700000001</v>
      </c>
      <c r="C86">
        <v>-118.1244746</v>
      </c>
      <c r="D86" t="s">
        <v>5</v>
      </c>
    </row>
    <row r="87" spans="1:4" x14ac:dyDescent="0.45">
      <c r="A87" t="s">
        <v>89</v>
      </c>
      <c r="B87">
        <v>34.162470999999996</v>
      </c>
      <c r="C87">
        <v>-118.16587440000001</v>
      </c>
      <c r="D87" t="str">
        <f>HYPERLINK("https://streetviewpixels-pa.googleapis.com/v1/thumbnail?panoid=XB5KKOgr7ZHG2RjEhr1CBQ&amp;cb_client=search.gws-prod.gps&amp;w=408&amp;h=240&amp;yaw=185.75749&amp;pitch=0&amp;thumbfov=100", "link")</f>
        <v>link</v>
      </c>
    </row>
    <row r="88" spans="1:4" x14ac:dyDescent="0.45">
      <c r="A88" t="s">
        <v>90</v>
      </c>
      <c r="B88">
        <v>34.162445099999999</v>
      </c>
      <c r="C88">
        <v>-118.16592609999999</v>
      </c>
      <c r="D88" t="str">
        <f>HYPERLINK("https://streetviewpixels-pa.googleapis.com/v1/thumbnail?panoid=XB5KKOgr7ZHG2RjEhr1CBQ&amp;cb_client=search.gws-prod.gps&amp;w=408&amp;h=240&amp;yaw=185.75749&amp;pitch=0&amp;thumbfov=100", "link")</f>
        <v>link</v>
      </c>
    </row>
    <row r="89" spans="1:4" x14ac:dyDescent="0.45">
      <c r="A89" t="s">
        <v>91</v>
      </c>
      <c r="B89">
        <v>34.169419099999999</v>
      </c>
      <c r="C89">
        <v>-118.1063242</v>
      </c>
      <c r="D89" t="s">
        <v>5</v>
      </c>
    </row>
    <row r="90" spans="1:4" x14ac:dyDescent="0.45">
      <c r="A90" t="s">
        <v>92</v>
      </c>
      <c r="B90">
        <v>34.160642199999998</v>
      </c>
      <c r="C90">
        <v>-118.1654592</v>
      </c>
      <c r="D90" t="str">
        <f>HYPERLINK("https://lh5.googleusercontent.com/p/AF1QipMnJy-mrKPUoS0zsM7r3y6XZuPNTfJBnVliQeW_=w408-h306-k-no", "link")</f>
        <v>link</v>
      </c>
    </row>
    <row r="91" spans="1:4" x14ac:dyDescent="0.45">
      <c r="A91" t="s">
        <v>93</v>
      </c>
      <c r="B91">
        <v>34.160529499999903</v>
      </c>
      <c r="C91">
        <v>-118.16546080000001</v>
      </c>
      <c r="D91" t="str">
        <f>HYPERLINK("https://lh5.googleusercontent.com/p/AF1QipMnJy-mrKPUoS0zsM7r3y6XZuPNTfJBnVliQeW_=w408-h306-k-no", "link")</f>
        <v>link</v>
      </c>
    </row>
    <row r="92" spans="1:4" x14ac:dyDescent="0.45">
      <c r="A92" t="s">
        <v>94</v>
      </c>
      <c r="B92">
        <v>34.205239400000004</v>
      </c>
      <c r="C92">
        <v>-118.21565529999999</v>
      </c>
      <c r="D92" t="s">
        <v>5</v>
      </c>
    </row>
    <row r="93" spans="1:4" x14ac:dyDescent="0.45">
      <c r="A93" t="s">
        <v>95</v>
      </c>
      <c r="B93">
        <v>34.166274100000003</v>
      </c>
      <c r="C93">
        <v>-118.18430739999999</v>
      </c>
      <c r="D93" t="s">
        <v>5</v>
      </c>
    </row>
    <row r="94" spans="1:4" x14ac:dyDescent="0.45">
      <c r="A94" t="s">
        <v>96</v>
      </c>
      <c r="B94">
        <v>34.206071899999998</v>
      </c>
      <c r="C94">
        <v>-118.21711670000001</v>
      </c>
      <c r="D94" t="str">
        <f>HYPERLINK("https://streetviewpixels-pa.googleapis.com/v1/thumbnail?panoid=vflfSLjM5QM85Ds1DF5fSA&amp;cb_client=search.gws-prod.gps&amp;w=408&amp;h=240&amp;yaw=69.17894&amp;pitch=0&amp;thumbfov=100", "link")</f>
        <v>link</v>
      </c>
    </row>
    <row r="95" spans="1:4" x14ac:dyDescent="0.45">
      <c r="A95" t="s">
        <v>97</v>
      </c>
      <c r="B95">
        <v>34.205751300000003</v>
      </c>
      <c r="C95">
        <v>-118.2176886</v>
      </c>
      <c r="D95" t="str">
        <f>HYPERLINK("https://streetviewpixels-pa.googleapis.com/v1/thumbnail?panoid=0AFzfGeWZD3E8_13hPrWow&amp;cb_client=search.gws-prod.gps&amp;w=408&amp;h=240&amp;yaw=202.92932&amp;pitch=0&amp;thumbfov=100", "link")</f>
        <v>link</v>
      </c>
    </row>
    <row r="96" spans="1:4" x14ac:dyDescent="0.45">
      <c r="A96" t="s">
        <v>98</v>
      </c>
      <c r="B96">
        <v>34.158654599999998</v>
      </c>
      <c r="C96">
        <v>-118.1682922</v>
      </c>
      <c r="D96" t="str">
        <f>HYPERLINK("https://lh5.googleusercontent.com/p/AF1QipMlF9QAczAH4JiozUX8ty_UNPZhfmXu9dgNiNDb=w408-h928-k-no", "link")</f>
        <v>link</v>
      </c>
    </row>
    <row r="97" spans="1:4" x14ac:dyDescent="0.45">
      <c r="A97" t="s">
        <v>99</v>
      </c>
      <c r="B97">
        <v>34.158654599999998</v>
      </c>
      <c r="C97">
        <v>-118.1682922</v>
      </c>
      <c r="D97" t="str">
        <f>HYPERLINK("https://lh5.googleusercontent.com/p/AF1QipMlF9QAczAH4JiozUX8ty_UNPZhfmXu9dgNiNDb=w408-h928-k-no", "link")</f>
        <v>link</v>
      </c>
    </row>
    <row r="98" spans="1:4" x14ac:dyDescent="0.45">
      <c r="A98" t="s">
        <v>100</v>
      </c>
      <c r="B98">
        <v>34.205610700000001</v>
      </c>
      <c r="C98">
        <v>-118.21925090000001</v>
      </c>
      <c r="D98" t="str">
        <f>HYPERLINK("https://streetviewpixels-pa.googleapis.com/v1/thumbnail?panoid=RGibBEJVm2C2gizIxuWVJQ&amp;cb_client=search.gws-prod.gps&amp;w=408&amp;h=240&amp;yaw=285.70563&amp;pitch=0&amp;thumbfov=100", "link")</f>
        <v>link</v>
      </c>
    </row>
    <row r="99" spans="1:4" x14ac:dyDescent="0.45">
      <c r="A99" t="s">
        <v>101</v>
      </c>
      <c r="B99">
        <v>34.158100599999997</v>
      </c>
      <c r="C99">
        <v>-118.1696314</v>
      </c>
      <c r="D99" t="str">
        <f>HYPERLINK("https://lh5.googleusercontent.com/p/AF1QipOmhAbiL4uPRM8JPJybPhhRzo6sD32h8uHdPeQa=w408-h306-k-no", "link")</f>
        <v>link</v>
      </c>
    </row>
    <row r="100" spans="1:4" x14ac:dyDescent="0.45">
      <c r="A100" t="s">
        <v>102</v>
      </c>
      <c r="B100">
        <v>34.158100599999898</v>
      </c>
      <c r="C100">
        <v>-118.1696314</v>
      </c>
      <c r="D100" t="str">
        <f>HYPERLINK("https://lh5.googleusercontent.com/p/AF1QipOmhAbiL4uPRM8JPJybPhhRzo6sD32h8uHdPeQa=w408-h306-k-no", "link")</f>
        <v>link</v>
      </c>
    </row>
    <row r="101" spans="1:4" x14ac:dyDescent="0.45">
      <c r="A101" t="s">
        <v>103</v>
      </c>
      <c r="B101">
        <v>34.154262799999998</v>
      </c>
      <c r="C101">
        <v>-118.16644599999999</v>
      </c>
      <c r="D101" t="str">
        <f>HYPERLINK("https://lh5.googleusercontent.com/p/AF1QipO6Q44142T0nbK6xrbR9Z-PU3Aoq2J3_utn70yZ=w408-h544-k-no", "link")</f>
        <v>link</v>
      </c>
    </row>
    <row r="102" spans="1:4" x14ac:dyDescent="0.45">
      <c r="A102" t="s">
        <v>104</v>
      </c>
      <c r="B102">
        <v>34.150749599999997</v>
      </c>
      <c r="C102">
        <v>-118.1457315</v>
      </c>
      <c r="D102" t="s">
        <v>5</v>
      </c>
    </row>
    <row r="103" spans="1:4" x14ac:dyDescent="0.45">
      <c r="A103" t="s">
        <v>105</v>
      </c>
      <c r="B103">
        <v>34.1845219</v>
      </c>
      <c r="C103">
        <v>-118.2160209</v>
      </c>
      <c r="D103" t="s">
        <v>5</v>
      </c>
    </row>
    <row r="104" spans="1:4" x14ac:dyDescent="0.45">
      <c r="A104" t="s">
        <v>106</v>
      </c>
      <c r="B104">
        <v>34.216274299999903</v>
      </c>
      <c r="C104">
        <v>-118.1463564</v>
      </c>
      <c r="D104" t="str">
        <f>HYPERLINK("https://lh5.googleusercontent.com/p/AF1QipMyVGQEvUmw-oLcqXt-QIZ7B23fDJXNmkh246I=w493-h240-k-no", "link")</f>
        <v>link</v>
      </c>
    </row>
    <row r="105" spans="1:4" x14ac:dyDescent="0.45">
      <c r="A105" t="s">
        <v>107</v>
      </c>
      <c r="B105">
        <v>34.217515200000001</v>
      </c>
      <c r="C105">
        <v>-118.1588501</v>
      </c>
      <c r="D105" t="str">
        <f>HYPERLINK("https://lh5.googleusercontent.com/p/AF1QipNM8yCQ_hHP8k8-ZTQ91M6j7bVfynLk88iDmBEa=w408-h240-k-no-pi-10-ya141.00002-ro0-fo100", "link")</f>
        <v>link</v>
      </c>
    </row>
    <row r="106" spans="1:4" x14ac:dyDescent="0.45">
      <c r="A106" t="s">
        <v>108</v>
      </c>
      <c r="B106">
        <v>34.200266499999998</v>
      </c>
      <c r="C106">
        <v>-118.1762638</v>
      </c>
      <c r="D106" t="s">
        <v>5</v>
      </c>
    </row>
    <row r="107" spans="1:4" x14ac:dyDescent="0.45">
      <c r="A107" t="s">
        <v>109</v>
      </c>
      <c r="B107">
        <v>34.193130099999998</v>
      </c>
      <c r="C107">
        <v>-118.16867980000001</v>
      </c>
      <c r="D107" t="s">
        <v>5</v>
      </c>
    </row>
    <row r="108" spans="1:4" x14ac:dyDescent="0.45">
      <c r="A108" t="s">
        <v>110</v>
      </c>
      <c r="B108">
        <v>34.193119299999999</v>
      </c>
      <c r="C108">
        <v>-118.168677</v>
      </c>
      <c r="D108" t="s">
        <v>5</v>
      </c>
    </row>
    <row r="109" spans="1:4" x14ac:dyDescent="0.45">
      <c r="A109" t="s">
        <v>111</v>
      </c>
      <c r="B109">
        <v>34.1927837</v>
      </c>
      <c r="C109">
        <v>-118.1758068</v>
      </c>
      <c r="D109" t="s">
        <v>5</v>
      </c>
    </row>
    <row r="110" spans="1:4" x14ac:dyDescent="0.45">
      <c r="A110" t="s">
        <v>112</v>
      </c>
      <c r="B110">
        <v>34.185867999999999</v>
      </c>
      <c r="C110">
        <v>-118.121244</v>
      </c>
      <c r="D110" t="s">
        <v>5</v>
      </c>
    </row>
    <row r="111" spans="1:4" x14ac:dyDescent="0.45">
      <c r="A111" t="s">
        <v>113</v>
      </c>
      <c r="B111">
        <v>34.169736899999997</v>
      </c>
      <c r="C111">
        <v>-118.1512625</v>
      </c>
      <c r="D111" t="s">
        <v>5</v>
      </c>
    </row>
    <row r="112" spans="1:4" x14ac:dyDescent="0.45">
      <c r="A112" t="s">
        <v>114</v>
      </c>
      <c r="B112">
        <v>34.174470900000003</v>
      </c>
      <c r="C112">
        <v>-118.1721048</v>
      </c>
      <c r="D112" t="s">
        <v>5</v>
      </c>
    </row>
    <row r="113" spans="1:4" x14ac:dyDescent="0.45">
      <c r="A113" t="s">
        <v>115</v>
      </c>
      <c r="B113">
        <v>34.169414199999999</v>
      </c>
      <c r="C113">
        <v>-118.14934270000001</v>
      </c>
      <c r="D113" t="s">
        <v>5</v>
      </c>
    </row>
    <row r="114" spans="1:4" x14ac:dyDescent="0.45">
      <c r="A114" t="s">
        <v>116</v>
      </c>
      <c r="B114">
        <v>34.169216400000003</v>
      </c>
      <c r="C114">
        <v>-118.1509425</v>
      </c>
      <c r="D114" t="s">
        <v>5</v>
      </c>
    </row>
    <row r="115" spans="1:4" x14ac:dyDescent="0.45">
      <c r="A115" t="s">
        <v>117</v>
      </c>
      <c r="B115">
        <v>34.239387000000001</v>
      </c>
      <c r="C115">
        <v>-118.09338459999999</v>
      </c>
      <c r="D115" t="s">
        <v>5</v>
      </c>
    </row>
    <row r="116" spans="1:4" x14ac:dyDescent="0.45">
      <c r="A116" t="s">
        <v>118</v>
      </c>
      <c r="B116">
        <v>34.239512400000002</v>
      </c>
      <c r="C116">
        <v>-118.09320169999999</v>
      </c>
      <c r="D116" t="s">
        <v>5</v>
      </c>
    </row>
    <row r="117" spans="1:4" x14ac:dyDescent="0.45">
      <c r="A117" t="s">
        <v>119</v>
      </c>
      <c r="B117">
        <v>34.2681209</v>
      </c>
      <c r="C117">
        <v>-118.145768</v>
      </c>
      <c r="D117" t="str">
        <f>HYPERLINK("https://lh5.googleusercontent.com/p/AF1QipN6PR7FBxzrcSOVNnJ0pd-yCIcLOfDH9LwxFGDv=w426-h240-k-no", "link")</f>
        <v>link</v>
      </c>
    </row>
    <row r="118" spans="1:4" x14ac:dyDescent="0.45">
      <c r="A118" t="s">
        <v>120</v>
      </c>
      <c r="B118">
        <v>34.263889200000001</v>
      </c>
      <c r="C118">
        <v>-118.17409019999999</v>
      </c>
      <c r="D118" t="str">
        <f>HYPERLINK("https://lh5.googleusercontent.com/p/AF1QipMqb26BpQHMX3q_oRYKWwc4KTtNvLwOZiROccJ0=w408-h265-k-no", "link")</f>
        <v>link</v>
      </c>
    </row>
    <row r="119" spans="1:4" x14ac:dyDescent="0.45">
      <c r="A119" t="s">
        <v>121</v>
      </c>
      <c r="B119">
        <v>34.269422800000001</v>
      </c>
      <c r="C119">
        <v>-118.140109</v>
      </c>
      <c r="D119" t="s">
        <v>5</v>
      </c>
    </row>
    <row r="120" spans="1:4" x14ac:dyDescent="0.45">
      <c r="A120" t="s">
        <v>122</v>
      </c>
      <c r="B120">
        <v>34.2021187</v>
      </c>
      <c r="C120">
        <v>-118.209898</v>
      </c>
      <c r="D120" t="str">
        <f>HYPERLINK("https://lh5.googleusercontent.com/p/AF1QipNlPE-a_LM86qHexdalhEDSxwhD1kmIyCRlS0dK=w408-h306-k-no", "link")</f>
        <v>link</v>
      </c>
    </row>
    <row r="121" spans="1:4" x14ac:dyDescent="0.45">
      <c r="A121" t="s">
        <v>123</v>
      </c>
      <c r="B121">
        <v>34.270460900000003</v>
      </c>
      <c r="C121">
        <v>-118.1532737</v>
      </c>
      <c r="D121" t="s">
        <v>5</v>
      </c>
    </row>
    <row r="122" spans="1:4" x14ac:dyDescent="0.45">
      <c r="A122" t="s">
        <v>124</v>
      </c>
      <c r="B122">
        <v>34.163679299999998</v>
      </c>
      <c r="C122">
        <v>-118.16632799999999</v>
      </c>
      <c r="D122" t="s">
        <v>5</v>
      </c>
    </row>
    <row r="123" spans="1:4" x14ac:dyDescent="0.45">
      <c r="A123" t="s">
        <v>125</v>
      </c>
      <c r="B123">
        <v>34.2027365</v>
      </c>
      <c r="C123">
        <v>-118.21190850000001</v>
      </c>
      <c r="D123" t="s">
        <v>5</v>
      </c>
    </row>
    <row r="124" spans="1:4" x14ac:dyDescent="0.45">
      <c r="A124" t="s">
        <v>126</v>
      </c>
      <c r="B124">
        <v>34.150939000000001</v>
      </c>
      <c r="C124">
        <v>-118.1436011</v>
      </c>
      <c r="D124" t="str">
        <f>HYPERLINK("https://streetviewpixels-pa.googleapis.com/v1/thumbnail?panoid=sntWhDsUb6SJBsV23fRy7A&amp;cb_client=search.gws-prod.gps&amp;w=408&amp;h=240&amp;yaw=317.09952&amp;pitch=0&amp;thumbfov=100", "link")</f>
        <v>link</v>
      </c>
    </row>
    <row r="125" spans="1:4" x14ac:dyDescent="0.45">
      <c r="A125" t="s">
        <v>127</v>
      </c>
      <c r="B125">
        <v>34.146233700000003</v>
      </c>
      <c r="C125">
        <v>-118.12096339999999</v>
      </c>
      <c r="D125" t="s">
        <v>5</v>
      </c>
    </row>
    <row r="126" spans="1:4" x14ac:dyDescent="0.45">
      <c r="A126" t="s">
        <v>128</v>
      </c>
      <c r="B126">
        <v>34.146233000000002</v>
      </c>
      <c r="C126">
        <v>-118.12061780000001</v>
      </c>
      <c r="D126" t="s">
        <v>5</v>
      </c>
    </row>
    <row r="127" spans="1:4" x14ac:dyDescent="0.45">
      <c r="A127" t="s">
        <v>129</v>
      </c>
      <c r="B127">
        <v>34.146432900000001</v>
      </c>
      <c r="C127">
        <v>-118.12622330000001</v>
      </c>
      <c r="D127" t="s">
        <v>5</v>
      </c>
    </row>
    <row r="128" spans="1:4" x14ac:dyDescent="0.45">
      <c r="A128" t="s">
        <v>130</v>
      </c>
      <c r="B128">
        <v>34.150889900000003</v>
      </c>
      <c r="C128">
        <v>-118.14404020000001</v>
      </c>
      <c r="D128" t="s">
        <v>5</v>
      </c>
    </row>
    <row r="129" spans="1:4" x14ac:dyDescent="0.45">
      <c r="A129" t="s">
        <v>131</v>
      </c>
      <c r="B129">
        <v>34.146651800000001</v>
      </c>
      <c r="C129">
        <v>-118.1292443</v>
      </c>
      <c r="D129" t="str">
        <f>HYPERLINK("https://streetviewpixels-pa.googleapis.com/v1/thumbnail?panoid=_gEDsosQnuJXaDtD0XbjRg&amp;cb_client=search.gws-prod.gps&amp;w=408&amp;h=240&amp;yaw=113.716736&amp;pitch=0&amp;thumbfov=100", "link")</f>
        <v>link</v>
      </c>
    </row>
    <row r="130" spans="1:4" x14ac:dyDescent="0.45">
      <c r="A130" t="s">
        <v>132</v>
      </c>
      <c r="B130">
        <v>34.146231999999998</v>
      </c>
      <c r="C130">
        <v>-118.1253232</v>
      </c>
      <c r="D130" t="str">
        <f>HYPERLINK("https://streetviewpixels-pa.googleapis.com/v1/thumbnail?panoid=B9h6RAtLzambk5s8vmoNzg&amp;cb_client=search.gws-prod.gps&amp;w=408&amp;h=240&amp;yaw=49.955547&amp;pitch=0&amp;thumbfov=100", "link")</f>
        <v>link</v>
      </c>
    </row>
    <row r="131" spans="1:4" x14ac:dyDescent="0.45">
      <c r="A131" t="s">
        <v>133</v>
      </c>
      <c r="B131">
        <v>34.146325399999903</v>
      </c>
      <c r="C131">
        <v>-118.1269192</v>
      </c>
      <c r="D131" t="s">
        <v>5</v>
      </c>
    </row>
    <row r="132" spans="1:4" x14ac:dyDescent="0.45">
      <c r="A132" t="s">
        <v>134</v>
      </c>
      <c r="B132">
        <v>34.1462097</v>
      </c>
      <c r="C132">
        <v>-118.1257742</v>
      </c>
      <c r="D132" t="s">
        <v>5</v>
      </c>
    </row>
    <row r="133" spans="1:4" x14ac:dyDescent="0.45">
      <c r="A133" t="s">
        <v>135</v>
      </c>
      <c r="B133">
        <v>34.146430600000002</v>
      </c>
      <c r="C133">
        <v>-118.1284036</v>
      </c>
      <c r="D133" t="str">
        <f>HYPERLINK("https://streetviewpixels-pa.googleapis.com/v1/thumbnail?panoid=pPDL8Uczz3Zhm_53MTtL1Q&amp;cb_client=search.gws-prod.gps&amp;w=408&amp;h=240&amp;yaw=40.2483&amp;pitch=0&amp;thumbfov=100", "link")</f>
        <v>link</v>
      </c>
    </row>
    <row r="134" spans="1:4" x14ac:dyDescent="0.45">
      <c r="A134" t="s">
        <v>136</v>
      </c>
      <c r="B134">
        <v>34.146582500000001</v>
      </c>
      <c r="C134">
        <v>-118.12954480000001</v>
      </c>
      <c r="D134" t="str">
        <f>HYPERLINK("https://lh5.googleusercontent.com/p/AF1QipOda9mlxEstrreYcsOl-tv6bQ3K6olRwwGmFqEW=w438-h240-k-no", "link")</f>
        <v>link</v>
      </c>
    </row>
    <row r="135" spans="1:4" x14ac:dyDescent="0.45">
      <c r="A135" t="s">
        <v>137</v>
      </c>
      <c r="B135">
        <v>34.146867200000003</v>
      </c>
      <c r="C135">
        <v>-118.1313574</v>
      </c>
      <c r="D135" t="str">
        <f>HYPERLINK("https://streetviewpixels-pa.googleapis.com/v1/thumbnail?panoid=g38PDY5YopTUyUlRw5Qn6A&amp;cb_client=search.gws-prod.gps&amp;w=408&amp;h=240&amp;yaw=172.14063&amp;pitch=0&amp;thumbfov=100", "link")</f>
        <v>link</v>
      </c>
    </row>
    <row r="136" spans="1:4" x14ac:dyDescent="0.45">
      <c r="A136" t="s">
        <v>138</v>
      </c>
      <c r="B136">
        <v>34.150101900000003</v>
      </c>
      <c r="C136">
        <v>-118.1426285</v>
      </c>
      <c r="D136" t="str">
        <f>HYPERLINK("https://streetviewpixels-pa.googleapis.com/v1/thumbnail?panoid=dZANUUEZxJRp9R80RRAlQg&amp;cb_client=search.gws-prod.gps&amp;w=408&amp;h=240&amp;yaw=269.92526&amp;pitch=0&amp;thumbfov=100", "link")</f>
        <v>link</v>
      </c>
    </row>
    <row r="137" spans="1:4" x14ac:dyDescent="0.45">
      <c r="A137" t="s">
        <v>139</v>
      </c>
      <c r="B137">
        <v>34.149110700000001</v>
      </c>
      <c r="C137">
        <v>-118.14027900000001</v>
      </c>
      <c r="D137" t="str">
        <f>HYPERLINK("https://streetviewpixels-pa.googleapis.com/v1/thumbnail?panoid=MWBtOSAy6pB76ppk_aNh3g&amp;cb_client=search.gws-prod.gps&amp;w=408&amp;h=240&amp;yaw=244.69044&amp;pitch=0&amp;thumbfov=100", "link")</f>
        <v>link</v>
      </c>
    </row>
    <row r="138" spans="1:4" x14ac:dyDescent="0.45">
      <c r="A138" t="s">
        <v>140</v>
      </c>
      <c r="B138">
        <v>34.146439899999997</v>
      </c>
      <c r="C138">
        <v>-118.11281649999999</v>
      </c>
      <c r="D138" t="s">
        <v>5</v>
      </c>
    </row>
    <row r="139" spans="1:4" x14ac:dyDescent="0.45">
      <c r="A139" t="s">
        <v>141</v>
      </c>
      <c r="B139">
        <v>34.146548600000003</v>
      </c>
      <c r="C139">
        <v>-118.1310397</v>
      </c>
      <c r="D139" t="str">
        <f>HYPERLINK("https://streetviewpixels-pa.googleapis.com/v1/thumbnail?panoid=88Wv_SR3cnHEKJx89FtdYQ&amp;cb_client=search.gws-prod.gps&amp;w=408&amp;h=240&amp;yaw=274.97427&amp;pitch=0&amp;thumbfov=100", "link")</f>
        <v>link</v>
      </c>
    </row>
    <row r="140" spans="1:4" x14ac:dyDescent="0.45">
      <c r="A140" t="s">
        <v>142</v>
      </c>
      <c r="B140">
        <v>34.150415700000003</v>
      </c>
      <c r="C140">
        <v>-118.1441774</v>
      </c>
      <c r="D140" t="s">
        <v>5</v>
      </c>
    </row>
    <row r="141" spans="1:4" x14ac:dyDescent="0.45">
      <c r="A141" t="s">
        <v>143</v>
      </c>
      <c r="B141">
        <v>34.147196699999903</v>
      </c>
      <c r="C141">
        <v>-118.1345812</v>
      </c>
      <c r="D141" t="s">
        <v>5</v>
      </c>
    </row>
    <row r="142" spans="1:4" x14ac:dyDescent="0.45">
      <c r="A142" t="s">
        <v>144</v>
      </c>
      <c r="B142">
        <v>34.162739199999997</v>
      </c>
      <c r="C142">
        <v>-118.09728</v>
      </c>
      <c r="D142" t="str">
        <f>HYPERLINK("https://streetviewpixels-pa.googleapis.com/v1/thumbnail?panoid=GCDx77gDmmS_FAIVaTkZhg&amp;cb_client=search.gws-prod.gps&amp;w=408&amp;h=240&amp;yaw=200.84036&amp;pitch=0&amp;thumbfov=100", "link")</f>
        <v>link</v>
      </c>
    </row>
    <row r="143" spans="1:4" x14ac:dyDescent="0.45">
      <c r="A143" t="s">
        <v>145</v>
      </c>
      <c r="B143">
        <v>34.159578600000003</v>
      </c>
      <c r="C143">
        <v>-118.0959908</v>
      </c>
      <c r="D143" t="s">
        <v>5</v>
      </c>
    </row>
    <row r="144" spans="1:4" x14ac:dyDescent="0.45">
      <c r="A144" t="s">
        <v>146</v>
      </c>
      <c r="B144">
        <v>34.161172800000003</v>
      </c>
      <c r="C144">
        <v>-118.09344659999999</v>
      </c>
      <c r="D144" t="s">
        <v>5</v>
      </c>
    </row>
    <row r="145" spans="1:4" x14ac:dyDescent="0.45">
      <c r="A145" t="s">
        <v>147</v>
      </c>
      <c r="B145">
        <v>34.150803099999997</v>
      </c>
      <c r="C145">
        <v>-118.1327948</v>
      </c>
      <c r="D145" t="str">
        <f>HYPERLINK("https://streetviewpixels-pa.googleapis.com/v1/thumbnail?panoid=sLEZlGcaMwZ3Ys4nyd6hGA&amp;cb_client=search.gws-prod.gps&amp;w=408&amp;h=240&amp;yaw=62.372063&amp;pitch=0&amp;thumbfov=100", "link")</f>
        <v>link</v>
      </c>
    </row>
    <row r="146" spans="1:4" x14ac:dyDescent="0.45">
      <c r="A146" t="s">
        <v>148</v>
      </c>
      <c r="B146">
        <v>34.149010699999998</v>
      </c>
      <c r="C146">
        <v>-118.1318596</v>
      </c>
      <c r="D146" t="s">
        <v>5</v>
      </c>
    </row>
    <row r="147" spans="1:4" x14ac:dyDescent="0.45">
      <c r="A147" t="s">
        <v>149</v>
      </c>
      <c r="B147">
        <v>34.148986700000002</v>
      </c>
      <c r="C147">
        <v>-118.1334122</v>
      </c>
      <c r="D147" t="s">
        <v>5</v>
      </c>
    </row>
    <row r="148" spans="1:4" x14ac:dyDescent="0.45">
      <c r="A148" t="s">
        <v>150</v>
      </c>
      <c r="B148">
        <v>34.150022399999997</v>
      </c>
      <c r="C148">
        <v>-118.13741760000001</v>
      </c>
      <c r="D148" t="s">
        <v>5</v>
      </c>
    </row>
    <row r="149" spans="1:4" x14ac:dyDescent="0.45">
      <c r="A149" t="s">
        <v>151</v>
      </c>
      <c r="B149">
        <v>34.150016200000003</v>
      </c>
      <c r="C149">
        <v>-118.1374119</v>
      </c>
      <c r="D149" t="s">
        <v>5</v>
      </c>
    </row>
    <row r="150" spans="1:4" x14ac:dyDescent="0.45">
      <c r="A150" t="s">
        <v>152</v>
      </c>
      <c r="B150">
        <v>34.149237999999997</v>
      </c>
      <c r="C150">
        <v>-118.13514910000001</v>
      </c>
      <c r="D150" t="str">
        <f>HYPERLINK("https://streetviewpixels-pa.googleapis.com/v1/thumbnail?panoid=g7oQTxaTkh_pc90bMOSJJg&amp;cb_client=search.gws-prod.gps&amp;w=408&amp;h=240&amp;yaw=88.23249&amp;pitch=0&amp;thumbfov=100", "link")</f>
        <v>link</v>
      </c>
    </row>
    <row r="151" spans="1:4" x14ac:dyDescent="0.45">
      <c r="A151" t="s">
        <v>153</v>
      </c>
      <c r="B151">
        <v>34.148489799999901</v>
      </c>
      <c r="C151">
        <v>-118.1320405</v>
      </c>
      <c r="D151" t="str">
        <f>HYPERLINK("https://streetviewpixels-pa.googleapis.com/v1/thumbnail?panoid=d8i4eRUuC52oOrJc0lUz_g&amp;cb_client=search.gws-prod.gps&amp;w=408&amp;h=240&amp;yaw=97.9273&amp;pitch=0&amp;thumbfov=100", "link")</f>
        <v>link</v>
      </c>
    </row>
    <row r="152" spans="1:4" x14ac:dyDescent="0.45">
      <c r="A152" t="s">
        <v>154</v>
      </c>
      <c r="B152">
        <v>34.148479500000001</v>
      </c>
      <c r="C152">
        <v>-118.1333934</v>
      </c>
      <c r="D152" t="s">
        <v>5</v>
      </c>
    </row>
    <row r="153" spans="1:4" x14ac:dyDescent="0.45">
      <c r="A153" t="s">
        <v>155</v>
      </c>
      <c r="B153">
        <v>34.1491726</v>
      </c>
      <c r="C153">
        <v>-118.1388747</v>
      </c>
      <c r="D153" t="s">
        <v>5</v>
      </c>
    </row>
    <row r="154" spans="1:4" x14ac:dyDescent="0.45">
      <c r="A154" t="s">
        <v>156</v>
      </c>
      <c r="B154">
        <v>34.161136200000001</v>
      </c>
      <c r="C154">
        <v>-118.20011909999999</v>
      </c>
      <c r="D154" t="s">
        <v>5</v>
      </c>
    </row>
    <row r="155" spans="1:4" x14ac:dyDescent="0.45">
      <c r="A155" t="s">
        <v>157</v>
      </c>
      <c r="B155">
        <v>34.157665899999998</v>
      </c>
      <c r="C155">
        <v>-118.20377480000001</v>
      </c>
      <c r="D155" t="s">
        <v>5</v>
      </c>
    </row>
    <row r="156" spans="1:4" x14ac:dyDescent="0.45">
      <c r="A156" t="s">
        <v>158</v>
      </c>
      <c r="B156">
        <v>34.149824600000002</v>
      </c>
      <c r="C156">
        <v>-118.1501695</v>
      </c>
      <c r="D156" t="str">
        <f>HYPERLINK("https://streetviewpixels-pa.googleapis.com/v1/thumbnail?panoid=5rXV525ZbzL4a6H3B4JCDQ&amp;cb_client=search.gws-prod.gps&amp;w=408&amp;h=240&amp;yaw=41.275784&amp;pitch=0&amp;thumbfov=100", "link")</f>
        <v>link</v>
      </c>
    </row>
    <row r="157" spans="1:4" x14ac:dyDescent="0.45">
      <c r="A157" t="s">
        <v>159</v>
      </c>
      <c r="B157">
        <v>34.148759800000001</v>
      </c>
      <c r="C157">
        <v>-118.15277089999999</v>
      </c>
      <c r="D157" t="str">
        <f>HYPERLINK("https://lh5.googleusercontent.com/p/AF1QipO5_EH0a7qT759yb7dUSyQHPA1gfjA6TyJikGl6=w408-h240-k-no-pi-0-ya97-ro-0-fo100", "link")</f>
        <v>link</v>
      </c>
    </row>
    <row r="158" spans="1:4" x14ac:dyDescent="0.45">
      <c r="A158" t="s">
        <v>160</v>
      </c>
      <c r="B158">
        <v>34.149976600000002</v>
      </c>
      <c r="C158">
        <v>-118.1482287</v>
      </c>
      <c r="D158" t="str">
        <f>HYPERLINK("https://streetviewpixels-pa.googleapis.com/v1/thumbnail?panoid=K62nLD7Dy8-B_iwDNs_piQ&amp;cb_client=search.gws-prod.gps&amp;w=408&amp;h=240&amp;yaw=203.9284&amp;pitch=0&amp;thumbfov=100", "link")</f>
        <v>link</v>
      </c>
    </row>
    <row r="159" spans="1:4" x14ac:dyDescent="0.45">
      <c r="A159" t="s">
        <v>161</v>
      </c>
      <c r="B159">
        <v>34.1485883</v>
      </c>
      <c r="C159">
        <v>-118.1525068</v>
      </c>
      <c r="D159" t="str">
        <f>HYPERLINK("https://lh5.googleusercontent.com/p/AF1QipO5_EH0a7qT759yb7dUSyQHPA1gfjA6TyJikGl6=w408-h240-k-no-pi-0-ya97-ro-0-fo100", "link")</f>
        <v>link</v>
      </c>
    </row>
    <row r="160" spans="1:4" x14ac:dyDescent="0.45">
      <c r="A160" t="s">
        <v>162</v>
      </c>
      <c r="B160">
        <v>34.148490500000001</v>
      </c>
      <c r="C160">
        <v>-118.152467</v>
      </c>
      <c r="D160" t="str">
        <f>HYPERLINK("https://lh5.googleusercontent.com/p/AF1QipO5_EH0a7qT759yb7dUSyQHPA1gfjA6TyJikGl6=w408-h240-k-no-pi-0-ya97-ro-0-fo100", "link")</f>
        <v>link</v>
      </c>
    </row>
    <row r="161" spans="1:4" x14ac:dyDescent="0.45">
      <c r="A161" t="s">
        <v>163</v>
      </c>
      <c r="B161">
        <v>34.150328699999903</v>
      </c>
      <c r="C161">
        <v>-118.1456776</v>
      </c>
      <c r="D161" t="str">
        <f>HYPERLINK("https://streetviewpixels-pa.googleapis.com/v1/thumbnail?panoid=8hmFwPm8rhbgyAwRAPHmlQ&amp;cb_client=search.gws-prod.gps&amp;w=408&amp;h=240&amp;yaw=201.05875&amp;pitch=0&amp;thumbfov=100", "link")</f>
        <v>link</v>
      </c>
    </row>
    <row r="162" spans="1:4" x14ac:dyDescent="0.45">
      <c r="A162" t="s">
        <v>164</v>
      </c>
      <c r="B162">
        <v>34.145229899999997</v>
      </c>
      <c r="C162">
        <v>-118.15394329999999</v>
      </c>
      <c r="D162" t="str">
        <f>HYPERLINK("https://streetviewpixels-pa.googleapis.com/v1/thumbnail?panoid=wLD8R_zAmcXe9_GTlXVSmA&amp;cb_client=search.gws-prod.gps&amp;w=408&amp;h=240&amp;yaw=68.98653&amp;pitch=0&amp;thumbfov=100", "link")</f>
        <v>link</v>
      </c>
    </row>
    <row r="163" spans="1:4" x14ac:dyDescent="0.45">
      <c r="A163" t="s">
        <v>165</v>
      </c>
      <c r="B163">
        <v>34.147142500000001</v>
      </c>
      <c r="C163">
        <v>-118.1521735</v>
      </c>
      <c r="D163" t="str">
        <f>HYPERLINK("https://lh5.googleusercontent.com/p/AF1QipNiOaMdWJ1X9uMuSogh6ATkCcA4ao-tbRRaxJj9=w408-h725-k-no", "link")</f>
        <v>link</v>
      </c>
    </row>
    <row r="164" spans="1:4" x14ac:dyDescent="0.45">
      <c r="A164" t="s">
        <v>166</v>
      </c>
      <c r="B164">
        <v>34.145173399999997</v>
      </c>
      <c r="C164">
        <v>-118.1537391</v>
      </c>
      <c r="D164" t="str">
        <f>HYPERLINK("https://streetviewpixels-pa.googleapis.com/v1/thumbnail?panoid=wLD8R_zAmcXe9_GTlXVSmA&amp;cb_client=search.gws-prod.gps&amp;w=408&amp;h=240&amp;yaw=68.98653&amp;pitch=0&amp;thumbfov=100", "link")</f>
        <v>link</v>
      </c>
    </row>
    <row r="165" spans="1:4" x14ac:dyDescent="0.45">
      <c r="A165" t="s">
        <v>167</v>
      </c>
      <c r="B165">
        <v>34.146747499999996</v>
      </c>
      <c r="C165">
        <v>-118.15220770000001</v>
      </c>
      <c r="D165" t="str">
        <f>HYPERLINK("https://streetviewpixels-pa.googleapis.com/v1/thumbnail?panoid=Xkkt9PaOZhVKlsEFBiBJ_Q&amp;cb_client=search.gws-prod.gps&amp;w=408&amp;h=240&amp;yaw=130.51196&amp;pitch=0&amp;thumbfov=100", "link")</f>
        <v>link</v>
      </c>
    </row>
    <row r="166" spans="1:4" x14ac:dyDescent="0.45">
      <c r="A166" t="s">
        <v>168</v>
      </c>
      <c r="B166">
        <v>34.147098999999997</v>
      </c>
      <c r="C166">
        <v>-118.15132490000001</v>
      </c>
      <c r="D166" t="str">
        <f>HYPERLINK("https://streetviewpixels-pa.googleapis.com/v1/thumbnail?panoid=qV45pVLiqt9F8V9h4OaeMg&amp;cb_client=search.gws-prod.gps&amp;w=408&amp;h=240&amp;yaw=173.99577&amp;pitch=0&amp;thumbfov=100", "link")</f>
        <v>link</v>
      </c>
    </row>
    <row r="167" spans="1:4" x14ac:dyDescent="0.45">
      <c r="A167" t="s">
        <v>169</v>
      </c>
      <c r="B167">
        <v>34.148755999999999</v>
      </c>
      <c r="C167">
        <v>-118.1502112</v>
      </c>
      <c r="D167" t="str">
        <f>HYPERLINK("https://streetviewpixels-pa.googleapis.com/v1/thumbnail?panoid=xAz51bCqOhFxeDmjy3gTpA&amp;cb_client=search.gws-prod.gps&amp;w=408&amp;h=240&amp;yaw=44.018127&amp;pitch=0&amp;thumbfov=100", "link")</f>
        <v>link</v>
      </c>
    </row>
    <row r="168" spans="1:4" x14ac:dyDescent="0.45">
      <c r="A168" t="s">
        <v>170</v>
      </c>
      <c r="B168">
        <v>34.145079000000003</v>
      </c>
      <c r="C168">
        <v>-118.15277089999999</v>
      </c>
      <c r="D168" t="str">
        <f>HYPERLINK("https://streetviewpixels-pa.googleapis.com/v1/thumbnail?panoid=1m1Fg7QRVEWBTTZBVxdLmg&amp;cb_client=search.gws-prod.gps&amp;w=408&amp;h=240&amp;yaw=280.52304&amp;pitch=0&amp;thumbfov=100", "link")</f>
        <v>link</v>
      </c>
    </row>
    <row r="169" spans="1:4" x14ac:dyDescent="0.45">
      <c r="A169" t="s">
        <v>171</v>
      </c>
      <c r="B169">
        <v>34.147824499999999</v>
      </c>
      <c r="C169">
        <v>-118.1502838</v>
      </c>
      <c r="D169" t="str">
        <f>HYPERLINK("https://streetviewpixels-pa.googleapis.com/v1/thumbnail?panoid=LiklfFAesTyFJjQc9YQGHg&amp;cb_client=search.gws-prod.gps&amp;w=408&amp;h=240&amp;yaw=103.99885&amp;pitch=0&amp;thumbfov=100", "link")</f>
        <v>link</v>
      </c>
    </row>
    <row r="170" spans="1:4" x14ac:dyDescent="0.45">
      <c r="A170" t="s">
        <v>172</v>
      </c>
      <c r="B170">
        <v>34.144977599999997</v>
      </c>
      <c r="C170">
        <v>-118.1523284</v>
      </c>
      <c r="D170" t="str">
        <f>HYPERLINK("https://streetviewpixels-pa.googleapis.com/v1/thumbnail?panoid=1m1Fg7QRVEWBTTZBVxdLmg&amp;cb_client=search.gws-prod.gps&amp;w=408&amp;h=240&amp;yaw=280.52304&amp;pitch=0&amp;thumbfov=100", "link")</f>
        <v>link</v>
      </c>
    </row>
    <row r="171" spans="1:4" x14ac:dyDescent="0.45">
      <c r="A171" t="s">
        <v>173</v>
      </c>
      <c r="B171">
        <v>34.148823200000002</v>
      </c>
      <c r="C171">
        <v>-118.149297</v>
      </c>
      <c r="D171" t="str">
        <f>HYPERLINK("https://streetviewpixels-pa.googleapis.com/v1/thumbnail?panoid=2OtO11yvQ02ZxrUnv5NRcw&amp;cb_client=search.gws-prod.gps&amp;w=408&amp;h=240&amp;yaw=280.87027&amp;pitch=0&amp;thumbfov=100", "link")</f>
        <v>link</v>
      </c>
    </row>
    <row r="172" spans="1:4" x14ac:dyDescent="0.45">
      <c r="A172" t="s">
        <v>174</v>
      </c>
      <c r="B172">
        <v>34.148803700000002</v>
      </c>
      <c r="C172">
        <v>-118.1491333</v>
      </c>
      <c r="D172" t="str">
        <f>HYPERLINK("https://streetviewpixels-pa.googleapis.com/v1/thumbnail?panoid=2OtO11yvQ02ZxrUnv5NRcw&amp;cb_client=search.gws-prod.gps&amp;w=408&amp;h=240&amp;yaw=280.87027&amp;pitch=0&amp;thumbfov=100", "link")</f>
        <v>link</v>
      </c>
    </row>
    <row r="173" spans="1:4" x14ac:dyDescent="0.45">
      <c r="A173" t="s">
        <v>175</v>
      </c>
      <c r="B173">
        <v>34.1447468</v>
      </c>
      <c r="C173">
        <v>-118.1514834</v>
      </c>
      <c r="D173" t="str">
        <f>HYPERLINK("https://streetviewpixels-pa.googleapis.com/v1/thumbnail?panoid=aoQpVqwblx38lMyfJMDsCw&amp;cb_client=search.gws-prod.gps&amp;w=408&amp;h=240&amp;yaw=351.74625&amp;pitch=0&amp;thumbfov=100", "link")</f>
        <v>link</v>
      </c>
    </row>
    <row r="174" spans="1:4" x14ac:dyDescent="0.45">
      <c r="A174" t="s">
        <v>176</v>
      </c>
      <c r="B174">
        <v>34.146677500000003</v>
      </c>
      <c r="C174">
        <v>-118.14956069999999</v>
      </c>
      <c r="D174" t="s">
        <v>5</v>
      </c>
    </row>
    <row r="175" spans="1:4" x14ac:dyDescent="0.45">
      <c r="A175" t="s">
        <v>177</v>
      </c>
      <c r="B175">
        <v>34.146094699999999</v>
      </c>
      <c r="C175">
        <v>-118.1499195</v>
      </c>
      <c r="D175" t="str">
        <f>HYPERLINK("https://streetviewpixels-pa.googleapis.com/v1/thumbnail?panoid=pzEt1ZvPIMunXmZY541HTA&amp;cb_client=search.gws-prod.gps&amp;w=408&amp;h=240&amp;yaw=358.47556&amp;pitch=0&amp;thumbfov=100", "link")</f>
        <v>link</v>
      </c>
    </row>
    <row r="176" spans="1:4" x14ac:dyDescent="0.45">
      <c r="A176" t="s">
        <v>178</v>
      </c>
      <c r="B176">
        <v>34.144626000000002</v>
      </c>
      <c r="C176">
        <v>-118.1510905</v>
      </c>
      <c r="D176" t="str">
        <f>HYPERLINK("https://streetviewpixels-pa.googleapis.com/v1/thumbnail?panoid=njSyOKBDEFcxPiMafbQqaA&amp;cb_client=search.gws-prod.gps&amp;w=408&amp;h=240&amp;yaw=16.581757&amp;pitch=0&amp;thumbfov=100", "link")</f>
        <v>link</v>
      </c>
    </row>
    <row r="177" spans="1:4" x14ac:dyDescent="0.45">
      <c r="A177" t="s">
        <v>179</v>
      </c>
      <c r="B177">
        <v>34.1451815</v>
      </c>
      <c r="C177">
        <v>-118.15031159999999</v>
      </c>
      <c r="D177" t="s">
        <v>5</v>
      </c>
    </row>
    <row r="178" spans="1:4" x14ac:dyDescent="0.45">
      <c r="A178" t="s">
        <v>180</v>
      </c>
      <c r="B178">
        <v>34.142873599999902</v>
      </c>
      <c r="C178">
        <v>-118.15218950000001</v>
      </c>
      <c r="D178" t="str">
        <f>HYPERLINK("https://streetviewpixels-pa.googleapis.com/v1/thumbnail?panoid=Cw0IvZoq67bvAEuRZvPKLw&amp;cb_client=search.gws-prod.gps&amp;w=408&amp;h=240&amp;yaw=112.27969&amp;pitch=0&amp;thumbfov=100", "link")</f>
        <v>link</v>
      </c>
    </row>
    <row r="179" spans="1:4" x14ac:dyDescent="0.45">
      <c r="A179" t="s">
        <v>181</v>
      </c>
      <c r="B179">
        <v>34.145636000000003</v>
      </c>
      <c r="C179">
        <v>-118.14951170000001</v>
      </c>
      <c r="D179" t="str">
        <f>HYPERLINK("https://streetviewpixels-pa.googleapis.com/v1/thumbnail?panoid=4zJ_ypweUdBJr5WAAP8eWQ&amp;cb_client=search.gws-prod.gps&amp;w=408&amp;h=240&amp;yaw=167.01537&amp;pitch=0&amp;thumbfov=100", "link")</f>
        <v>link</v>
      </c>
    </row>
    <row r="180" spans="1:4" x14ac:dyDescent="0.45">
      <c r="A180" t="s">
        <v>182</v>
      </c>
      <c r="B180">
        <v>34.146378599999998</v>
      </c>
      <c r="C180">
        <v>-118.1581645</v>
      </c>
      <c r="D180" t="s">
        <v>5</v>
      </c>
    </row>
    <row r="181" spans="1:4" x14ac:dyDescent="0.45">
      <c r="A181" t="s">
        <v>183</v>
      </c>
      <c r="B181">
        <v>34.145145599999999</v>
      </c>
      <c r="C181">
        <v>-118.1592615</v>
      </c>
      <c r="D181" t="s">
        <v>5</v>
      </c>
    </row>
    <row r="182" spans="1:4" x14ac:dyDescent="0.45">
      <c r="A182" t="s">
        <v>184</v>
      </c>
      <c r="B182">
        <v>34.145280200000002</v>
      </c>
      <c r="C182">
        <v>-118.1574332</v>
      </c>
      <c r="D182" t="s">
        <v>5</v>
      </c>
    </row>
    <row r="183" spans="1:4" x14ac:dyDescent="0.45">
      <c r="A183" t="s">
        <v>185</v>
      </c>
      <c r="B183">
        <v>34.145290099999997</v>
      </c>
      <c r="C183">
        <v>-118.1564276</v>
      </c>
      <c r="D183" t="s">
        <v>5</v>
      </c>
    </row>
    <row r="184" spans="1:4" x14ac:dyDescent="0.45">
      <c r="A184" t="s">
        <v>186</v>
      </c>
      <c r="B184">
        <v>34.1465733</v>
      </c>
      <c r="C184">
        <v>-118.1539873</v>
      </c>
      <c r="D184" t="str">
        <f>HYPERLINK("https://streetviewpixels-pa.googleapis.com/v1/thumbnail?panoid=YUMq36dbBXa02IPChhHqVw&amp;cb_client=search.gws-prod.gps&amp;w=408&amp;h=240&amp;yaw=88.38688&amp;pitch=0&amp;thumbfov=100", "link")</f>
        <v>link</v>
      </c>
    </row>
    <row r="185" spans="1:4" x14ac:dyDescent="0.45">
      <c r="A185" t="s">
        <v>187</v>
      </c>
      <c r="B185">
        <v>34.1471144</v>
      </c>
      <c r="C185">
        <v>-118.1530776</v>
      </c>
      <c r="D185" t="str">
        <f>HYPERLINK("https://streetviewpixels-pa.googleapis.com/v1/thumbnail?panoid=Jg1503rsV6p3sQQYhuPRUQ&amp;cb_client=search.gws-prod.gps&amp;w=408&amp;h=240&amp;yaw=15.048977&amp;pitch=0&amp;thumbfov=100", "link")</f>
        <v>link</v>
      </c>
    </row>
    <row r="186" spans="1:4" x14ac:dyDescent="0.45">
      <c r="A186" t="s">
        <v>188</v>
      </c>
      <c r="B186">
        <v>34.146182899999999</v>
      </c>
      <c r="C186">
        <v>-118.1468895</v>
      </c>
      <c r="D186" t="str">
        <f>HYPERLINK("https://streetviewpixels-pa.googleapis.com/v1/thumbnail?panoid=aADhGqeEQp6wRNtZTZASaA&amp;cb_client=search.gws-prod.gps&amp;w=408&amp;h=240&amp;yaw=329.25488&amp;pitch=0&amp;thumbfov=100", "link")</f>
        <v>link</v>
      </c>
    </row>
    <row r="187" spans="1:4" x14ac:dyDescent="0.45">
      <c r="A187" t="s">
        <v>189</v>
      </c>
      <c r="B187">
        <v>34.146183000000001</v>
      </c>
      <c r="C187">
        <v>-118.14688870000001</v>
      </c>
      <c r="D187" t="str">
        <f>HYPERLINK("https://streetviewpixels-pa.googleapis.com/v1/thumbnail?panoid=aADhGqeEQp6wRNtZTZASaA&amp;cb_client=search.gws-prod.gps&amp;w=408&amp;h=240&amp;yaw=329.25488&amp;pitch=0&amp;thumbfov=100", "link")</f>
        <v>link</v>
      </c>
    </row>
    <row r="188" spans="1:4" x14ac:dyDescent="0.45">
      <c r="A188" t="s">
        <v>190</v>
      </c>
      <c r="B188">
        <v>34.145522</v>
      </c>
      <c r="C188">
        <v>-118.14774420000001</v>
      </c>
      <c r="D188" t="str">
        <f>HYPERLINK("https://streetviewpixels-pa.googleapis.com/v1/thumbnail?panoid=_YHFxQ7q05FL0v5JJSHAeA&amp;cb_client=search.gws-prod.gps&amp;w=408&amp;h=240&amp;yaw=12.356643&amp;pitch=0&amp;thumbfov=100", "link")</f>
        <v>link</v>
      </c>
    </row>
    <row r="189" spans="1:4" x14ac:dyDescent="0.45">
      <c r="A189" t="s">
        <v>191</v>
      </c>
      <c r="B189">
        <v>34.145328999999897</v>
      </c>
      <c r="C189">
        <v>-118.14806280000001</v>
      </c>
      <c r="D189" t="s">
        <v>5</v>
      </c>
    </row>
    <row r="190" spans="1:4" x14ac:dyDescent="0.45">
      <c r="A190" t="s">
        <v>192</v>
      </c>
      <c r="B190">
        <v>34.144870699999998</v>
      </c>
      <c r="C190">
        <v>-118.1499498</v>
      </c>
      <c r="D190" t="str">
        <f>HYPERLINK("https://streetviewpixels-pa.googleapis.com/v1/thumbnail?panoid=_s8Gz5wp7DwHd-X5PHnjsQ&amp;cb_client=search.gws-prod.gps&amp;w=408&amp;h=240&amp;yaw=357.2024&amp;pitch=0&amp;thumbfov=100", "link")</f>
        <v>link</v>
      </c>
    </row>
    <row r="191" spans="1:4" x14ac:dyDescent="0.45">
      <c r="A191" t="s">
        <v>193</v>
      </c>
      <c r="B191">
        <v>34.144875999999996</v>
      </c>
      <c r="C191">
        <v>-118.1497363</v>
      </c>
      <c r="D191" t="str">
        <f>HYPERLINK("https://streetviewpixels-pa.googleapis.com/v1/thumbnail?panoid=_s8Gz5wp7DwHd-X5PHnjsQ&amp;cb_client=search.gws-prod.gps&amp;w=408&amp;h=240&amp;yaw=357.2024&amp;pitch=0&amp;thumbfov=100", "link")</f>
        <v>link</v>
      </c>
    </row>
    <row r="192" spans="1:4" x14ac:dyDescent="0.45">
      <c r="A192" t="s">
        <v>194</v>
      </c>
      <c r="B192">
        <v>34.144857000000002</v>
      </c>
      <c r="C192">
        <v>-118.149976</v>
      </c>
      <c r="D192" t="str">
        <f>HYPERLINK("https://streetviewpixels-pa.googleapis.com/v1/thumbnail?panoid=_s8Gz5wp7DwHd-X5PHnjsQ&amp;cb_client=search.gws-prod.gps&amp;w=408&amp;h=240&amp;yaw=357.2024&amp;pitch=0&amp;thumbfov=100", "link")</f>
        <v>link</v>
      </c>
    </row>
    <row r="193" spans="1:4" x14ac:dyDescent="0.45">
      <c r="A193" t="s">
        <v>195</v>
      </c>
      <c r="B193">
        <v>34.148930999999997</v>
      </c>
      <c r="C193">
        <v>-118.145436</v>
      </c>
      <c r="D193" t="str">
        <f>HYPERLINK("https://streetviewpixels-pa.googleapis.com/v1/thumbnail?panoid=WAHsUG63ieOMeOTJrFc7Rg&amp;cb_client=search.gws-prod.gps&amp;w=408&amp;h=240&amp;yaw=1.9847013&amp;pitch=0&amp;thumbfov=100", "link")</f>
        <v>link</v>
      </c>
    </row>
    <row r="194" spans="1:4" x14ac:dyDescent="0.45">
      <c r="A194" t="s">
        <v>196</v>
      </c>
      <c r="B194">
        <v>34.145268399999999</v>
      </c>
      <c r="C194">
        <v>-118.14772360000001</v>
      </c>
      <c r="D194" t="s">
        <v>5</v>
      </c>
    </row>
    <row r="195" spans="1:4" x14ac:dyDescent="0.45">
      <c r="A195" t="s">
        <v>197</v>
      </c>
      <c r="B195">
        <v>34.145185699999999</v>
      </c>
      <c r="C195">
        <v>-118.14783420000001</v>
      </c>
      <c r="D195" t="s">
        <v>5</v>
      </c>
    </row>
    <row r="196" spans="1:4" x14ac:dyDescent="0.45">
      <c r="A196" t="s">
        <v>198</v>
      </c>
      <c r="B196">
        <v>34.146721700000001</v>
      </c>
      <c r="C196">
        <v>-118.14558340000001</v>
      </c>
      <c r="D196" t="str">
        <f>HYPERLINK("https://streetviewpixels-pa.googleapis.com/v1/thumbnail?panoid=L-uJ5yDNdl4hgqwyXzCu5Q&amp;cb_client=search.gws-prod.gps&amp;w=408&amp;h=240&amp;yaw=165.68912&amp;pitch=0&amp;thumbfov=100", "link")</f>
        <v>link</v>
      </c>
    </row>
    <row r="197" spans="1:4" x14ac:dyDescent="0.45">
      <c r="A197" t="s">
        <v>199</v>
      </c>
      <c r="B197">
        <v>34.146478500000001</v>
      </c>
      <c r="C197">
        <v>-118.1487521</v>
      </c>
      <c r="D197" t="str">
        <f>HYPERLINK("https://streetviewpixels-pa.googleapis.com/v1/thumbnail?panoid=Aug-pzr4L0hpg4WKIHoTrA&amp;cb_client=search.gws-prod.gps&amp;w=408&amp;h=240&amp;yaw=46.941048&amp;pitch=0&amp;thumbfov=100", "link")</f>
        <v>link</v>
      </c>
    </row>
    <row r="198" spans="1:4" x14ac:dyDescent="0.45">
      <c r="A198" t="s">
        <v>200</v>
      </c>
      <c r="B198">
        <v>34.1473686</v>
      </c>
      <c r="C198">
        <v>-118.1471584</v>
      </c>
      <c r="D198" t="str">
        <f>HYPERLINK("https://streetviewpixels-pa.googleapis.com/v1/thumbnail?panoid=rmarJakjDd3qOz0B483dww&amp;cb_client=search.gws-prod.gps&amp;w=408&amp;h=240&amp;yaw=185.59059&amp;pitch=0&amp;thumbfov=100", "link")</f>
        <v>link</v>
      </c>
    </row>
    <row r="199" spans="1:4" x14ac:dyDescent="0.45">
      <c r="A199" t="s">
        <v>201</v>
      </c>
      <c r="B199">
        <v>34.146388700000003</v>
      </c>
      <c r="C199">
        <v>-118.1479784</v>
      </c>
      <c r="D199" t="str">
        <f>HYPERLINK("https://streetviewpixels-pa.googleapis.com/v1/thumbnail?panoid=3hurlG6DEESuVK0b4dabLw&amp;cb_client=search.gws-prod.gps&amp;w=408&amp;h=240&amp;yaw=356.25204&amp;pitch=0&amp;thumbfov=100", "link")</f>
        <v>link</v>
      </c>
    </row>
    <row r="200" spans="1:4" x14ac:dyDescent="0.45">
      <c r="A200" t="s">
        <v>202</v>
      </c>
      <c r="B200">
        <v>34.145170700000001</v>
      </c>
      <c r="C200">
        <v>-118.13371720000001</v>
      </c>
      <c r="D200" t="str">
        <f>HYPERLINK("https://streetviewpixels-pa.googleapis.com/v1/thumbnail?panoid=khpAzxernXSyjmaTcEqdng&amp;cb_client=search.gws-prod.gps&amp;w=408&amp;h=240&amp;yaw=122.08637&amp;pitch=0&amp;thumbfov=100", "link")</f>
        <v>link</v>
      </c>
    </row>
    <row r="201" spans="1:4" x14ac:dyDescent="0.45">
      <c r="A201" t="s">
        <v>203</v>
      </c>
      <c r="B201">
        <v>34.1448471</v>
      </c>
      <c r="C201">
        <v>-118.1318517</v>
      </c>
      <c r="D201" t="str">
        <f>HYPERLINK("https://streetviewpixels-pa.googleapis.com/v1/thumbnail?panoid=vmNo39LSbjfpJuMgHBlABQ&amp;cb_client=search.gws-prod.gps&amp;w=408&amp;h=240&amp;yaw=248.34637&amp;pitch=0&amp;thumbfov=100", "link")</f>
        <v>link</v>
      </c>
    </row>
    <row r="202" spans="1:4" x14ac:dyDescent="0.45">
      <c r="A202" t="s">
        <v>204</v>
      </c>
      <c r="B202">
        <v>34.147663799999997</v>
      </c>
      <c r="C202">
        <v>-118.1364513</v>
      </c>
      <c r="D202" t="str">
        <f>HYPERLINK("https://streetviewpixels-pa.googleapis.com/v1/thumbnail?panoid=fgQBBWh5eLokDgLg4nw-BQ&amp;cb_client=search.gws-prod.gps&amp;w=408&amp;h=240&amp;yaw=2.9110682&amp;pitch=0&amp;thumbfov=100", "link")</f>
        <v>link</v>
      </c>
    </row>
    <row r="203" spans="1:4" x14ac:dyDescent="0.45">
      <c r="A203" t="s">
        <v>205</v>
      </c>
      <c r="B203">
        <v>34.147134000000001</v>
      </c>
      <c r="C203">
        <v>-118.13641149999999</v>
      </c>
      <c r="D203" t="str">
        <f>HYPERLINK("https://streetviewpixels-pa.googleapis.com/v1/thumbnail?panoid=M2GBPDA_tDsCd69evUi1AA&amp;cb_client=search.gws-prod.gps&amp;w=408&amp;h=240&amp;yaw=167.40503&amp;pitch=0&amp;thumbfov=100", "link")</f>
        <v>link</v>
      </c>
    </row>
    <row r="204" spans="1:4" x14ac:dyDescent="0.45">
      <c r="A204" t="s">
        <v>206</v>
      </c>
      <c r="B204">
        <v>34.144675700000001</v>
      </c>
      <c r="C204">
        <v>-118.1333132</v>
      </c>
      <c r="D204" t="str">
        <f>HYPERLINK("https://streetviewpixels-pa.googleapis.com/v1/thumbnail?panoid=F13K94yq71EXJ7ULJWGP6w&amp;cb_client=search.gws-prod.gps&amp;w=408&amp;h=240&amp;yaw=263.33124&amp;pitch=0&amp;thumbfov=100", "link")</f>
        <v>link</v>
      </c>
    </row>
    <row r="205" spans="1:4" x14ac:dyDescent="0.45">
      <c r="A205" t="s">
        <v>207</v>
      </c>
      <c r="B205">
        <v>34.145456099999997</v>
      </c>
      <c r="C205">
        <v>-118.1288641</v>
      </c>
      <c r="D205" t="s">
        <v>5</v>
      </c>
    </row>
    <row r="206" spans="1:4" x14ac:dyDescent="0.45">
      <c r="A206" t="s">
        <v>208</v>
      </c>
      <c r="B206">
        <v>34.1444530999999</v>
      </c>
      <c r="C206">
        <v>-118.1319632</v>
      </c>
      <c r="D206" t="str">
        <f>HYPERLINK("https://streetviewpixels-pa.googleapis.com/v1/thumbnail?panoid=9TfTnNFBpkNhyN9gdXa5fg&amp;cb_client=search.gws-prod.gps&amp;w=408&amp;h=240&amp;yaw=138.0346&amp;pitch=0&amp;thumbfov=100", "link")</f>
        <v>link</v>
      </c>
    </row>
    <row r="207" spans="1:4" x14ac:dyDescent="0.45">
      <c r="A207" t="s">
        <v>209</v>
      </c>
      <c r="B207">
        <v>34.144282599999997</v>
      </c>
      <c r="C207">
        <v>-118.13197390000001</v>
      </c>
      <c r="D207" t="str">
        <f>HYPERLINK("https://streetviewpixels-pa.googleapis.com/v1/thumbnail?panoid=9TfTnNFBpkNhyN9gdXa5fg&amp;cb_client=search.gws-prod.gps&amp;w=408&amp;h=240&amp;yaw=138.0346&amp;pitch=0&amp;thumbfov=100", "link")</f>
        <v>link</v>
      </c>
    </row>
    <row r="208" spans="1:4" x14ac:dyDescent="0.45">
      <c r="A208" t="s">
        <v>210</v>
      </c>
      <c r="B208">
        <v>34.145285600000001</v>
      </c>
      <c r="C208">
        <v>-118.1353548</v>
      </c>
      <c r="D208" t="str">
        <f>HYPERLINK("https://streetviewpixels-pa.googleapis.com/v1/thumbnail?panoid=FUHZ7RScCcZIhu97rndggg&amp;cb_client=search.gws-prod.gps&amp;w=408&amp;h=240&amp;yaw=273.49518&amp;pitch=0&amp;thumbfov=100", "link")</f>
        <v>link</v>
      </c>
    </row>
    <row r="209" spans="1:4" x14ac:dyDescent="0.45">
      <c r="A209" t="s">
        <v>211</v>
      </c>
      <c r="B209">
        <v>34.145711400000003</v>
      </c>
      <c r="C209">
        <v>-118.1360725</v>
      </c>
      <c r="D209" t="str">
        <f>HYPERLINK("https://streetviewpixels-pa.googleapis.com/v1/thumbnail?panoid=VMDfK3O9omCNAAyP0nt9_Q&amp;cb_client=search.gws-prod.gps&amp;w=408&amp;h=240&amp;yaw=209.99826&amp;pitch=0&amp;thumbfov=100", "link")</f>
        <v>link</v>
      </c>
    </row>
    <row r="210" spans="1:4" x14ac:dyDescent="0.45">
      <c r="A210" t="s">
        <v>212</v>
      </c>
      <c r="B210">
        <v>34.145680800000001</v>
      </c>
      <c r="C210">
        <v>-118.1360832</v>
      </c>
      <c r="D210" t="str">
        <f>HYPERLINK("https://streetviewpixels-pa.googleapis.com/v1/thumbnail?panoid=VMDfK3O9omCNAAyP0nt9_Q&amp;cb_client=search.gws-prod.gps&amp;w=408&amp;h=240&amp;yaw=209.99826&amp;pitch=0&amp;thumbfov=100", "link")</f>
        <v>link</v>
      </c>
    </row>
    <row r="211" spans="1:4" x14ac:dyDescent="0.45">
      <c r="A211" t="s">
        <v>213</v>
      </c>
      <c r="B211">
        <v>34.144334399999998</v>
      </c>
      <c r="C211">
        <v>-118.1296268</v>
      </c>
      <c r="D211" t="s">
        <v>5</v>
      </c>
    </row>
    <row r="212" spans="1:4" x14ac:dyDescent="0.45">
      <c r="A212" t="s">
        <v>214</v>
      </c>
      <c r="B212">
        <v>34.145622799999998</v>
      </c>
      <c r="C212">
        <v>-118.127674</v>
      </c>
      <c r="D212" t="s">
        <v>5</v>
      </c>
    </row>
    <row r="213" spans="1:4" x14ac:dyDescent="0.45">
      <c r="A213" t="s">
        <v>215</v>
      </c>
      <c r="B213">
        <v>34.143781299999901</v>
      </c>
      <c r="C213">
        <v>-118.1336536</v>
      </c>
      <c r="D213" t="str">
        <f>HYPERLINK("https://streetviewpixels-pa.googleapis.com/v1/thumbnail?panoid=6Bn_ng8VkIS783f_fkbOGw&amp;cb_client=search.gws-prod.gps&amp;w=408&amp;h=240&amp;yaw=111.08984&amp;pitch=0&amp;thumbfov=100", "link")</f>
        <v>link</v>
      </c>
    </row>
    <row r="214" spans="1:4" x14ac:dyDescent="0.45">
      <c r="A214" t="s">
        <v>216</v>
      </c>
      <c r="B214">
        <v>34.146694699999998</v>
      </c>
      <c r="C214">
        <v>-118.13343829999999</v>
      </c>
      <c r="D214" t="str">
        <f>HYPERLINK("https://streetviewpixels-pa.googleapis.com/v1/thumbnail?panoid=8zpQeD2Yi_l-uvDDZg2zsg&amp;cb_client=search.gws-prod.gps&amp;w=408&amp;h=240&amp;yaw=10.655155&amp;pitch=0&amp;thumbfov=100", "link")</f>
        <v>link</v>
      </c>
    </row>
    <row r="215" spans="1:4" x14ac:dyDescent="0.45">
      <c r="A215" t="s">
        <v>217</v>
      </c>
      <c r="B215">
        <v>34.146406499999998</v>
      </c>
      <c r="C215">
        <v>-118.13455519999999</v>
      </c>
      <c r="D215" t="str">
        <f>HYPERLINK("https://streetviewpixels-pa.googleapis.com/v1/thumbnail?panoid=GFy1bhKJfmFJ4J2Cxrr85w&amp;cb_client=search.gws-prod.gps&amp;w=408&amp;h=240&amp;yaw=341.58932&amp;pitch=0&amp;thumbfov=100", "link")</f>
        <v>link</v>
      </c>
    </row>
    <row r="216" spans="1:4" x14ac:dyDescent="0.45">
      <c r="A216" t="s">
        <v>218</v>
      </c>
      <c r="B216">
        <v>34.145544100000002</v>
      </c>
      <c r="C216">
        <v>-118.1327706</v>
      </c>
      <c r="D216" t="str">
        <f>HYPERLINK("https://streetviewpixels-pa.googleapis.com/v1/thumbnail?panoid=m8w7ETFMUn4OgPNl0SqPFw&amp;cb_client=search.gws-prod.gps&amp;w=408&amp;h=240&amp;yaw=206.41748&amp;pitch=0&amp;thumbfov=100", "link")</f>
        <v>link</v>
      </c>
    </row>
    <row r="217" spans="1:4" x14ac:dyDescent="0.45">
      <c r="A217" t="s">
        <v>219</v>
      </c>
      <c r="B217">
        <v>34.145619199999999</v>
      </c>
      <c r="C217">
        <v>-118.1332063</v>
      </c>
      <c r="D217" t="str">
        <f>HYPERLINK("https://streetviewpixels-pa.googleapis.com/v1/thumbnail?panoid=PMNlvwk2qI65mVirmXxvlQ&amp;cb_client=search.gws-prod.gps&amp;w=408&amp;h=240&amp;yaw=152.92598&amp;pitch=0&amp;thumbfov=100", "link")</f>
        <v>link</v>
      </c>
    </row>
    <row r="218" spans="1:4" x14ac:dyDescent="0.45">
      <c r="A218" t="s">
        <v>220</v>
      </c>
      <c r="B218">
        <v>34.145369000000002</v>
      </c>
      <c r="C218">
        <v>-118.13170100000001</v>
      </c>
      <c r="D218" t="s">
        <v>5</v>
      </c>
    </row>
    <row r="219" spans="1:4" x14ac:dyDescent="0.45">
      <c r="A219" t="s">
        <v>221</v>
      </c>
      <c r="B219">
        <v>34.145457399999998</v>
      </c>
      <c r="C219">
        <v>-118.1305516</v>
      </c>
      <c r="D219" t="s">
        <v>5</v>
      </c>
    </row>
    <row r="220" spans="1:4" x14ac:dyDescent="0.45">
      <c r="A220" t="s">
        <v>222</v>
      </c>
      <c r="B220">
        <v>34.1452119</v>
      </c>
      <c r="C220">
        <v>-118.1326366</v>
      </c>
      <c r="D220" t="str">
        <f>HYPERLINK("https://lh5.googleusercontent.com/p/AF1QipNMvveNgpy0UMAqYRM8IVa1ly848jyOPUDmzrl5=w426-h240-k-no", "link")</f>
        <v>link</v>
      </c>
    </row>
    <row r="221" spans="1:4" x14ac:dyDescent="0.45">
      <c r="A221" t="s">
        <v>223</v>
      </c>
      <c r="B221">
        <v>34.145194099999998</v>
      </c>
      <c r="C221">
        <v>-118.1337035</v>
      </c>
      <c r="D221" t="str">
        <f>HYPERLINK("https://streetviewpixels-pa.googleapis.com/v1/thumbnail?panoid=khpAzxernXSyjmaTcEqdng&amp;cb_client=search.gws-prod.gps&amp;w=408&amp;h=240&amp;yaw=112.53141&amp;pitch=0&amp;thumbfov=100", "link")</f>
        <v>link</v>
      </c>
    </row>
    <row r="222" spans="1:4" x14ac:dyDescent="0.45">
      <c r="A222" t="s">
        <v>224</v>
      </c>
      <c r="B222">
        <v>34.146801199999999</v>
      </c>
      <c r="C222">
        <v>-118.1358577</v>
      </c>
      <c r="D222" t="s">
        <v>5</v>
      </c>
    </row>
    <row r="223" spans="1:4" x14ac:dyDescent="0.45">
      <c r="A223" t="s">
        <v>225</v>
      </c>
      <c r="B223">
        <v>34.143196600000003</v>
      </c>
      <c r="C223">
        <v>-118.1311714</v>
      </c>
      <c r="D223" t="s">
        <v>5</v>
      </c>
    </row>
    <row r="224" spans="1:4" x14ac:dyDescent="0.45">
      <c r="A224" t="s">
        <v>226</v>
      </c>
      <c r="B224">
        <v>34.143013500000002</v>
      </c>
      <c r="C224">
        <v>-118.1313755</v>
      </c>
      <c r="D224" t="s">
        <v>5</v>
      </c>
    </row>
    <row r="225" spans="1:4" x14ac:dyDescent="0.45">
      <c r="A225" t="s">
        <v>227</v>
      </c>
      <c r="B225">
        <v>34.145272499999997</v>
      </c>
      <c r="C225">
        <v>-118.1269621</v>
      </c>
      <c r="D225" t="s">
        <v>5</v>
      </c>
    </row>
    <row r="226" spans="1:4" x14ac:dyDescent="0.45">
      <c r="A226" t="s">
        <v>228</v>
      </c>
      <c r="B226">
        <v>34.143990000000002</v>
      </c>
      <c r="C226">
        <v>-118.134738</v>
      </c>
      <c r="D226" t="str">
        <f>HYPERLINK("https://streetviewpixels-pa.googleapis.com/v1/thumbnail?panoid=uvYy6ddNfMONo1L1sBD_9w&amp;cb_client=search.gws-prod.gps&amp;w=408&amp;h=240&amp;yaw=91.36639&amp;pitch=0&amp;thumbfov=100", "link")</f>
        <v>link</v>
      </c>
    </row>
    <row r="227" spans="1:4" x14ac:dyDescent="0.45">
      <c r="A227" t="s">
        <v>229</v>
      </c>
      <c r="B227">
        <v>34.145556800000001</v>
      </c>
      <c r="C227">
        <v>-118.12670300000001</v>
      </c>
      <c r="D227" t="s">
        <v>5</v>
      </c>
    </row>
    <row r="228" spans="1:4" x14ac:dyDescent="0.45">
      <c r="A228" t="s">
        <v>230</v>
      </c>
      <c r="B228">
        <v>34.144734300000003</v>
      </c>
      <c r="C228">
        <v>-118.14787990000001</v>
      </c>
      <c r="D228" t="str">
        <f>HYPERLINK("https://streetviewpixels-pa.googleapis.com/v1/thumbnail?panoid=JLpFYpAIud5HOLxFKn74RA&amp;cb_client=search.gws-prod.gps&amp;w=408&amp;h=240&amp;yaw=271.05984&amp;pitch=0&amp;thumbfov=100", "link")</f>
        <v>link</v>
      </c>
    </row>
    <row r="229" spans="1:4" x14ac:dyDescent="0.45">
      <c r="A229" t="s">
        <v>231</v>
      </c>
      <c r="B229">
        <v>34.145294399999997</v>
      </c>
      <c r="C229">
        <v>-118.14665890000001</v>
      </c>
      <c r="D229" t="str">
        <f>HYPERLINK("https://streetviewpixels-pa.googleapis.com/v1/thumbnail?panoid=BfBmPgR83R5c4LcaKvrKSQ&amp;cb_client=search.gws-prod.gps&amp;w=408&amp;h=240&amp;yaw=100.96694&amp;pitch=0&amp;thumbfov=100", "link")</f>
        <v>link</v>
      </c>
    </row>
    <row r="230" spans="1:4" x14ac:dyDescent="0.45">
      <c r="A230" t="s">
        <v>232</v>
      </c>
      <c r="B230">
        <v>34.143320799999998</v>
      </c>
      <c r="C230">
        <v>-118.15071140000001</v>
      </c>
      <c r="D230" t="str">
        <f>HYPERLINK("https://streetviewpixels-pa.googleapis.com/v1/thumbnail?panoid=Iq_YXIQ9pwRjzISvV5Pg5Q&amp;cb_client=search.gws-prod.gps&amp;w=408&amp;h=240&amp;yaw=288.44986&amp;pitch=0&amp;thumbfov=100", "link")</f>
        <v>link</v>
      </c>
    </row>
    <row r="231" spans="1:4" x14ac:dyDescent="0.45">
      <c r="A231" t="s">
        <v>233</v>
      </c>
      <c r="B231">
        <v>34.146740299999998</v>
      </c>
      <c r="C231">
        <v>-118.1377595</v>
      </c>
      <c r="D231" t="str">
        <f>HYPERLINK("https://streetviewpixels-pa.googleapis.com/v1/thumbnail?panoid=32AFom9j-1ScHWcyABNmGw&amp;cb_client=search.gws-prod.gps&amp;w=408&amp;h=240&amp;yaw=0.12766466&amp;pitch=0&amp;thumbfov=100", "link")</f>
        <v>link</v>
      </c>
    </row>
    <row r="232" spans="1:4" x14ac:dyDescent="0.45">
      <c r="A232" t="s">
        <v>234</v>
      </c>
      <c r="B232">
        <v>34.144847899999903</v>
      </c>
      <c r="C232">
        <v>-118.1365819</v>
      </c>
      <c r="D232" t="str">
        <f>HYPERLINK("https://streetviewpixels-pa.googleapis.com/v1/thumbnail?panoid=mQHtVntstT8czhw4j8czRg&amp;cb_client=search.gws-prod.gps&amp;w=408&amp;h=240&amp;yaw=107.191795&amp;pitch=0&amp;thumbfov=100", "link")</f>
        <v>link</v>
      </c>
    </row>
    <row r="233" spans="1:4" x14ac:dyDescent="0.45">
      <c r="A233" t="s">
        <v>235</v>
      </c>
      <c r="B233">
        <v>34.148220999999999</v>
      </c>
      <c r="C233">
        <v>-118.13883300000001</v>
      </c>
      <c r="D233" t="str">
        <f>HYPERLINK("https://streetviewpixels-pa.googleapis.com/v1/thumbnail?panoid=xzagLBEs0dc4SJyFWyxFoA&amp;cb_client=search.gws-prod.gps&amp;w=408&amp;h=240&amp;yaw=291.30563&amp;pitch=0&amp;thumbfov=100", "link")</f>
        <v>link</v>
      </c>
    </row>
    <row r="234" spans="1:4" x14ac:dyDescent="0.45">
      <c r="A234" t="s">
        <v>236</v>
      </c>
      <c r="B234">
        <v>34.147835100000002</v>
      </c>
      <c r="C234">
        <v>-118.13881379999999</v>
      </c>
      <c r="D234" t="str">
        <f>HYPERLINK("https://streetviewpixels-pa.googleapis.com/v1/thumbnail?panoid=i8R802Dca99dfnlbjHHwRQ&amp;cb_client=search.gws-prod.gps&amp;w=408&amp;h=240&amp;yaw=273.8404&amp;pitch=0&amp;thumbfov=100", "link")</f>
        <v>link</v>
      </c>
    </row>
    <row r="235" spans="1:4" x14ac:dyDescent="0.45">
      <c r="A235" t="s">
        <v>237</v>
      </c>
      <c r="B235">
        <v>34.147129399999997</v>
      </c>
      <c r="C235">
        <v>-118.1388029</v>
      </c>
      <c r="D235" t="str">
        <f>HYPERLINK("https://streetviewpixels-pa.googleapis.com/v1/thumbnail?panoid=YYVkFEOGRsNnzhXTAXAMwg&amp;cb_client=search.gws-prod.gps&amp;w=408&amp;h=240&amp;yaw=278.3978&amp;pitch=0&amp;thumbfov=100", "link")</f>
        <v>link</v>
      </c>
    </row>
    <row r="236" spans="1:4" x14ac:dyDescent="0.45">
      <c r="A236" t="s">
        <v>238</v>
      </c>
      <c r="B236">
        <v>34.144257699999997</v>
      </c>
      <c r="C236">
        <v>-118.13663699999999</v>
      </c>
      <c r="D236" t="str">
        <f>HYPERLINK("https://streetviewpixels-pa.googleapis.com/v1/thumbnail?panoid=6mCxzTX_z3ocrwQtl4Errw&amp;cb_client=search.gws-prod.gps&amp;w=408&amp;h=240&amp;yaw=113.535126&amp;pitch=0&amp;thumbfov=100", "link")</f>
        <v>link</v>
      </c>
    </row>
    <row r="237" spans="1:4" x14ac:dyDescent="0.45">
      <c r="A237" t="s">
        <v>239</v>
      </c>
      <c r="B237">
        <v>34.142335899999999</v>
      </c>
      <c r="C237">
        <v>-118.1310376</v>
      </c>
      <c r="D237" t="str">
        <f>HYPERLINK("https://streetviewpixels-pa.googleapis.com/v1/thumbnail?panoid=R_Api49X_fJudSHUQ61Ikg&amp;cb_client=search.gws-prod.gps&amp;w=408&amp;h=240&amp;yaw=119.868454&amp;pitch=0&amp;thumbfov=100", "link")</f>
        <v>link</v>
      </c>
    </row>
    <row r="238" spans="1:4" x14ac:dyDescent="0.45">
      <c r="A238" t="s">
        <v>240</v>
      </c>
      <c r="B238">
        <v>34.141742999999998</v>
      </c>
      <c r="C238">
        <v>-118.13120019999999</v>
      </c>
      <c r="D238" t="str">
        <f>HYPERLINK("https://lh5.googleusercontent.com/p/AF1QipPBFyL-Uz42zhZvTeTGyKiKWoB8_VyYEph4EJ0h=w408-h544-k-no", "link")</f>
        <v>link</v>
      </c>
    </row>
    <row r="239" spans="1:4" x14ac:dyDescent="0.45">
      <c r="A239" t="s">
        <v>241</v>
      </c>
      <c r="B239">
        <v>34.144333600000003</v>
      </c>
      <c r="C239">
        <v>-118.1372168</v>
      </c>
      <c r="D239" t="str">
        <f>HYPERLINK("https://streetviewpixels-pa.googleapis.com/v1/thumbnail?panoid=Z63whQiONstWvMIeYa2czw&amp;cb_client=search.gws-prod.gps&amp;w=408&amp;h=240&amp;yaw=261.33884&amp;pitch=0&amp;thumbfov=100", "link")</f>
        <v>link</v>
      </c>
    </row>
    <row r="240" spans="1:4" x14ac:dyDescent="0.45">
      <c r="A240" t="s">
        <v>242</v>
      </c>
      <c r="B240">
        <v>34.1403154999999</v>
      </c>
      <c r="C240">
        <v>-118.1331541</v>
      </c>
      <c r="D240" t="str">
        <f>HYPERLINK("https://streetviewpixels-pa.googleapis.com/v1/thumbnail?panoid=pOA27y2qhi-GbWMRztxV4Q&amp;cb_client=search.gws-prod.gps&amp;w=408&amp;h=240&amp;yaw=268.9739&amp;pitch=0&amp;thumbfov=100", "link")</f>
        <v>link</v>
      </c>
    </row>
    <row r="241" spans="1:4" x14ac:dyDescent="0.45">
      <c r="A241" t="s">
        <v>243</v>
      </c>
      <c r="B241">
        <v>34.145041299999903</v>
      </c>
      <c r="C241">
        <v>-118.1380226</v>
      </c>
      <c r="D241" t="str">
        <f>HYPERLINK("https://streetviewpixels-pa.googleapis.com/v1/thumbnail?panoid=ClDzNTt9Wq9dtvaBa5877Q&amp;cb_client=search.gws-prod.gps&amp;w=408&amp;h=240&amp;yaw=211.74887&amp;pitch=0&amp;thumbfov=100", "link")</f>
        <v>link</v>
      </c>
    </row>
    <row r="242" spans="1:4" x14ac:dyDescent="0.45">
      <c r="A242" t="s">
        <v>244</v>
      </c>
      <c r="B242">
        <v>34.145461900000001</v>
      </c>
      <c r="C242">
        <v>-118.13820149999999</v>
      </c>
      <c r="D242" t="str">
        <f>HYPERLINK("https://streetviewpixels-pa.googleapis.com/v1/thumbnail?panoid=G4NimDI68bpigGRHwxPv1w&amp;cb_client=search.gws-prod.gps&amp;w=408&amp;h=240&amp;yaw=200.80415&amp;pitch=0&amp;thumbfov=100", "link")</f>
        <v>link</v>
      </c>
    </row>
    <row r="243" spans="1:4" x14ac:dyDescent="0.45">
      <c r="A243" t="s">
        <v>245</v>
      </c>
      <c r="B243">
        <v>34.142812200000002</v>
      </c>
      <c r="C243">
        <v>-118.1330691</v>
      </c>
      <c r="D243" t="s">
        <v>5</v>
      </c>
    </row>
    <row r="244" spans="1:4" x14ac:dyDescent="0.45">
      <c r="A244" t="s">
        <v>246</v>
      </c>
      <c r="B244">
        <v>34.143248</v>
      </c>
      <c r="C244">
        <v>-118.1348095</v>
      </c>
      <c r="D244" t="str">
        <f>HYPERLINK("https://streetviewpixels-pa.googleapis.com/v1/thumbnail?panoid=QhaIErZEbMPQ0sSjlwGmrA&amp;cb_client=search.gws-prod.gps&amp;w=408&amp;h=240&amp;yaw=90.491455&amp;pitch=0&amp;thumbfov=100", "link")</f>
        <v>link</v>
      </c>
    </row>
    <row r="245" spans="1:4" x14ac:dyDescent="0.45">
      <c r="A245" t="s">
        <v>247</v>
      </c>
      <c r="B245">
        <v>34.142865700000002</v>
      </c>
      <c r="C245">
        <v>-118.13289779999999</v>
      </c>
      <c r="D245" t="str">
        <f>HYPERLINK("https://streetviewpixels-pa.googleapis.com/v1/thumbnail?panoid=Rl36i9-GNzL5ToOy10p2eg&amp;cb_client=search.gws-prod.gps&amp;w=408&amp;h=240&amp;yaw=275.5265&amp;pitch=0&amp;thumbfov=100", "link")</f>
        <v>link</v>
      </c>
    </row>
    <row r="246" spans="1:4" x14ac:dyDescent="0.45">
      <c r="A246" t="s">
        <v>248</v>
      </c>
      <c r="B246">
        <v>34.142720400000002</v>
      </c>
      <c r="C246">
        <v>-118.1330023</v>
      </c>
      <c r="D246" t="s">
        <v>5</v>
      </c>
    </row>
    <row r="247" spans="1:4" x14ac:dyDescent="0.45">
      <c r="A247" t="s">
        <v>249</v>
      </c>
      <c r="B247">
        <v>34.143453999999998</v>
      </c>
      <c r="C247">
        <v>-118.135459</v>
      </c>
      <c r="D247" t="str">
        <f>HYPERLINK("https://streetviewpixels-pa.googleapis.com/v1/thumbnail?panoid=tR3goosQsTU3g9XeMxmfww&amp;cb_client=search.gws-prod.gps&amp;w=408&amp;h=240&amp;yaw=253.05313&amp;pitch=0&amp;thumbfov=100", "link")</f>
        <v>link</v>
      </c>
    </row>
    <row r="248" spans="1:4" x14ac:dyDescent="0.45">
      <c r="A248" t="s">
        <v>250</v>
      </c>
      <c r="B248">
        <v>34.143879499999997</v>
      </c>
      <c r="C248">
        <v>-118.1423032</v>
      </c>
      <c r="D248" t="s">
        <v>5</v>
      </c>
    </row>
    <row r="249" spans="1:4" x14ac:dyDescent="0.45">
      <c r="A249" t="s">
        <v>251</v>
      </c>
      <c r="B249">
        <v>34.142604200000001</v>
      </c>
      <c r="C249">
        <v>-118.14550300000001</v>
      </c>
      <c r="D249" t="s">
        <v>5</v>
      </c>
    </row>
    <row r="250" spans="1:4" x14ac:dyDescent="0.45">
      <c r="A250" t="s">
        <v>252</v>
      </c>
      <c r="B250">
        <v>34.147095</v>
      </c>
      <c r="C250">
        <v>-118.14117709999999</v>
      </c>
      <c r="D250" t="s">
        <v>5</v>
      </c>
    </row>
    <row r="251" spans="1:4" x14ac:dyDescent="0.45">
      <c r="A251" t="s">
        <v>253</v>
      </c>
      <c r="B251">
        <v>34.146809599999997</v>
      </c>
      <c r="C251">
        <v>-118.14097750000001</v>
      </c>
      <c r="D251" t="str">
        <f>HYPERLINK("https://streetviewpixels-pa.googleapis.com/v1/thumbnail?panoid=NNxncvC9a02iTSKFtZvk_Q&amp;cb_client=search.gws-prod.gps&amp;w=408&amp;h=240&amp;yaw=87.48525&amp;pitch=0&amp;thumbfov=100", "link")</f>
        <v>link</v>
      </c>
    </row>
    <row r="252" spans="1:4" x14ac:dyDescent="0.45">
      <c r="A252" t="s">
        <v>254</v>
      </c>
      <c r="B252">
        <v>34.144979900000003</v>
      </c>
      <c r="C252">
        <v>-118.1406118</v>
      </c>
      <c r="D252" t="s">
        <v>5</v>
      </c>
    </row>
    <row r="253" spans="1:4" x14ac:dyDescent="0.45">
      <c r="A253" t="s">
        <v>255</v>
      </c>
      <c r="B253">
        <v>34.142473199999998</v>
      </c>
      <c r="C253">
        <v>-118.141929</v>
      </c>
      <c r="D253" t="str">
        <f>HYPERLINK("https://streetviewpixels-pa.googleapis.com/v1/thumbnail?panoid=aeKdi-bIEKmH1CuE1rEOLw&amp;cb_client=search.gws-prod.gps&amp;w=408&amp;h=240&amp;yaw=33.032333&amp;pitch=0&amp;thumbfov=100", "link")</f>
        <v>link</v>
      </c>
    </row>
    <row r="254" spans="1:4" x14ac:dyDescent="0.45">
      <c r="A254" t="s">
        <v>256</v>
      </c>
      <c r="B254">
        <v>34.149006900000003</v>
      </c>
      <c r="C254">
        <v>-118.1424403</v>
      </c>
      <c r="D254" t="s">
        <v>5</v>
      </c>
    </row>
    <row r="255" spans="1:4" x14ac:dyDescent="0.45">
      <c r="A255" t="s">
        <v>257</v>
      </c>
      <c r="B255">
        <v>34.149059200000004</v>
      </c>
      <c r="C255">
        <v>-118.1425211</v>
      </c>
      <c r="D255" t="s">
        <v>5</v>
      </c>
    </row>
    <row r="256" spans="1:4" x14ac:dyDescent="0.45">
      <c r="A256" t="s">
        <v>258</v>
      </c>
      <c r="B256">
        <v>34.148679899999998</v>
      </c>
      <c r="C256">
        <v>-118.1416632</v>
      </c>
      <c r="D256" t="str">
        <f>HYPERLINK("https://streetviewpixels-pa.googleapis.com/v1/thumbnail?panoid=Emav8VfkQ5w7j7aqz3WSOg&amp;cb_client=search.gws-prod.gps&amp;w=408&amp;h=240&amp;yaw=348.73157&amp;pitch=0&amp;thumbfov=100", "link")</f>
        <v>link</v>
      </c>
    </row>
    <row r="257" spans="1:4" x14ac:dyDescent="0.45">
      <c r="A257" t="s">
        <v>259</v>
      </c>
      <c r="B257">
        <v>34.141709200000001</v>
      </c>
      <c r="C257">
        <v>-118.1424135</v>
      </c>
      <c r="D257" t="str">
        <f>HYPERLINK("https://streetviewpixels-pa.googleapis.com/v1/thumbnail?panoid=K1SIGDwD00-c1Id7PijlCA&amp;cb_client=search.gws-prod.gps&amp;w=408&amp;h=240&amp;yaw=41.87723&amp;pitch=0&amp;thumbfov=100", "link")</f>
        <v>link</v>
      </c>
    </row>
    <row r="258" spans="1:4" x14ac:dyDescent="0.45">
      <c r="A258" t="s">
        <v>260</v>
      </c>
      <c r="B258">
        <v>34.145581399999998</v>
      </c>
      <c r="C258">
        <v>-118.1449355</v>
      </c>
      <c r="D258" t="str">
        <f>HYPERLINK("https://streetviewpixels-pa.googleapis.com/v1/thumbnail?panoid=e1DJoQ0hFoZ5mJ46OoPD9g&amp;cb_client=search.gws-prod.gps&amp;w=408&amp;h=240&amp;yaw=18.440437&amp;pitch=0&amp;thumbfov=100", "link")</f>
        <v>link</v>
      </c>
    </row>
    <row r="259" spans="1:4" x14ac:dyDescent="0.45">
      <c r="A259" t="s">
        <v>261</v>
      </c>
      <c r="B259">
        <v>34.1455494</v>
      </c>
      <c r="C259">
        <v>-118.1441717</v>
      </c>
      <c r="D259" t="str">
        <f>HYPERLINK("https://streetviewpixels-pa.googleapis.com/v1/thumbnail?panoid=KjO8xCqAUFf8AAIRiJHWxQ&amp;cb_client=search.gws-prod.gps&amp;w=408&amp;h=240&amp;yaw=187.76932&amp;pitch=0&amp;thumbfov=100", "link")</f>
        <v>link</v>
      </c>
    </row>
    <row r="260" spans="1:4" x14ac:dyDescent="0.45">
      <c r="A260" t="s">
        <v>262</v>
      </c>
      <c r="B260">
        <v>34.147107699999999</v>
      </c>
      <c r="C260">
        <v>-118.14500339999999</v>
      </c>
      <c r="D260" t="str">
        <f>HYPERLINK("https://streetviewpixels-pa.googleapis.com/v1/thumbnail?panoid=DvBQZy256M6H9rGUWvTMKg&amp;cb_client=search.gws-prod.gps&amp;w=408&amp;h=240&amp;yaw=82.57659&amp;pitch=0&amp;thumbfov=100", "link")</f>
        <v>link</v>
      </c>
    </row>
    <row r="261" spans="1:4" x14ac:dyDescent="0.45">
      <c r="A261" t="s">
        <v>263</v>
      </c>
      <c r="B261">
        <v>34.144849399999998</v>
      </c>
      <c r="C261">
        <v>-118.14663470000001</v>
      </c>
      <c r="D261" t="str">
        <f>HYPERLINK("https://streetviewpixels-pa.googleapis.com/v1/thumbnail?panoid=BfBmPgR83R5c4LcaKvrKSQ&amp;cb_client=search.gws-prod.gps&amp;w=408&amp;h=240&amp;yaw=100.96694&amp;pitch=0&amp;thumbfov=100", "link")</f>
        <v>link</v>
      </c>
    </row>
    <row r="262" spans="1:4" x14ac:dyDescent="0.45">
      <c r="A262" t="s">
        <v>264</v>
      </c>
      <c r="B262">
        <v>34.145728499999898</v>
      </c>
      <c r="C262">
        <v>-118.1429828</v>
      </c>
      <c r="D262" t="str">
        <f>HYPERLINK("https://lh5.googleusercontent.com/p/AF1QipMsuhk26q1P1L_fWIK_D_YqLv-b9Hgp6IJPiF58=w408-h544-k-no", "link")</f>
        <v>link</v>
      </c>
    </row>
    <row r="263" spans="1:4" x14ac:dyDescent="0.45">
      <c r="A263" t="s">
        <v>265</v>
      </c>
      <c r="B263">
        <v>34.146619899999997</v>
      </c>
      <c r="C263">
        <v>-118.14340919999999</v>
      </c>
      <c r="D263" t="str">
        <f>HYPERLINK("https://streetviewpixels-pa.googleapis.com/v1/thumbnail?panoid=Zos5RsMI0yK-8boFvgYCPA&amp;cb_client=search.gws-prod.gps&amp;w=408&amp;h=240&amp;yaw=179.86351&amp;pitch=0&amp;thumbfov=100", "link")</f>
        <v>link</v>
      </c>
    </row>
    <row r="264" spans="1:4" x14ac:dyDescent="0.45">
      <c r="A264" t="s">
        <v>266</v>
      </c>
      <c r="B264">
        <v>34.146037700000001</v>
      </c>
      <c r="C264">
        <v>-118.1419666</v>
      </c>
      <c r="D264" t="str">
        <f>HYPERLINK("https://streetviewpixels-pa.googleapis.com/v1/thumbnail?panoid=-RS7yWRHRmLV67VPGTSwDQ&amp;cb_client=search.gws-prod.gps&amp;w=408&amp;h=240&amp;yaw=13.879895&amp;pitch=0&amp;thumbfov=100", "link")</f>
        <v>link</v>
      </c>
    </row>
    <row r="265" spans="1:4" x14ac:dyDescent="0.45">
      <c r="A265" t="s">
        <v>267</v>
      </c>
      <c r="B265">
        <v>34.144232899999999</v>
      </c>
      <c r="C265">
        <v>-118.1421612</v>
      </c>
      <c r="D265" t="str">
        <f>HYPERLINK("https://lh5.googleusercontent.com/p/AF1QipNMf4w3qaKGhWwCjWigYxCy9YCUnBZLJvKkLHPP=w408-h612-k-no", "link")</f>
        <v>link</v>
      </c>
    </row>
    <row r="266" spans="1:4" x14ac:dyDescent="0.45">
      <c r="A266" t="s">
        <v>268</v>
      </c>
      <c r="B266">
        <v>34.144193600000001</v>
      </c>
      <c r="C266">
        <v>-118.142166</v>
      </c>
      <c r="D266" t="str">
        <f>HYPERLINK("https://lh5.googleusercontent.com/p/AF1QipNMf4w3qaKGhWwCjWigYxCy9YCUnBZLJvKkLHPP=w408-h612-k-no", "link")</f>
        <v>link</v>
      </c>
    </row>
    <row r="267" spans="1:4" x14ac:dyDescent="0.45">
      <c r="A267" t="s">
        <v>269</v>
      </c>
      <c r="B267">
        <v>34.137900999999999</v>
      </c>
      <c r="C267">
        <v>-118.03682499999999</v>
      </c>
      <c r="D267" t="s">
        <v>5</v>
      </c>
    </row>
    <row r="268" spans="1:4" x14ac:dyDescent="0.45">
      <c r="A268" t="s">
        <v>270</v>
      </c>
      <c r="B268">
        <v>34.137706700000003</v>
      </c>
      <c r="C268">
        <v>-118.038241</v>
      </c>
      <c r="D268" t="str">
        <f>HYPERLINK("https://streetviewpixels-pa.googleapis.com/v1/thumbnail?panoid=Uqw-tqrFKSd5oIJ13HSqJA&amp;cb_client=search.gws-prod.gps&amp;w=408&amp;h=240&amp;yaw=105.7655&amp;pitch=0&amp;thumbfov=100", "link")</f>
        <v>link</v>
      </c>
    </row>
    <row r="269" spans="1:4" x14ac:dyDescent="0.45">
      <c r="A269" t="s">
        <v>271</v>
      </c>
      <c r="B269">
        <v>34.138013899999997</v>
      </c>
      <c r="C269">
        <v>-118.0401987</v>
      </c>
      <c r="D269" t="s">
        <v>5</v>
      </c>
    </row>
    <row r="270" spans="1:4" x14ac:dyDescent="0.45">
      <c r="A270" t="s">
        <v>272</v>
      </c>
      <c r="B270">
        <v>34.138637699999997</v>
      </c>
      <c r="C270">
        <v>-118.0406626</v>
      </c>
      <c r="D270" t="str">
        <f>HYPERLINK("https://streetviewpixels-pa.googleapis.com/v1/thumbnail?panoid=rKbMoJhSJjm063AsJKnvxQ&amp;cb_client=search.gws-prod.gps&amp;w=408&amp;h=240&amp;yaw=304.5301&amp;pitch=0&amp;thumbfov=100", "link")</f>
        <v>link</v>
      </c>
    </row>
    <row r="271" spans="1:4" x14ac:dyDescent="0.45">
      <c r="A271" t="s">
        <v>273</v>
      </c>
      <c r="B271">
        <v>34.1363032</v>
      </c>
      <c r="C271">
        <v>-118.04209090000001</v>
      </c>
      <c r="D271" t="str">
        <f>HYPERLINK("https://lh5.googleusercontent.com/p/AF1QipOckUHukZRyQ057Yl1zdwmBimtcs1EF5rMhAxSH=w408-h772-k-no", "link")</f>
        <v>link</v>
      </c>
    </row>
    <row r="272" spans="1:4" x14ac:dyDescent="0.45">
      <c r="A272" t="s">
        <v>274</v>
      </c>
      <c r="B272">
        <v>34.136893299999997</v>
      </c>
      <c r="C272">
        <v>-118.03112539999999</v>
      </c>
      <c r="D272" t="str">
        <f>HYPERLINK("https://streetviewpixels-pa.googleapis.com/v1/thumbnail?panoid=vPOJM2rVd2zqqa34XZl8hA&amp;cb_client=search.gws-prod.gps&amp;w=408&amp;h=240&amp;yaw=86.72059&amp;pitch=0&amp;thumbfov=100", "link")</f>
        <v>link</v>
      </c>
    </row>
    <row r="273" spans="1:4" x14ac:dyDescent="0.45">
      <c r="A273" t="s">
        <v>275</v>
      </c>
      <c r="B273">
        <v>34.140287200000003</v>
      </c>
      <c r="C273">
        <v>-118.0298592</v>
      </c>
      <c r="D273" t="str">
        <f>HYPERLINK("https://streetviewpixels-pa.googleapis.com/v1/thumbnail?panoid=ivG6Od5-damQHxV9qqW4mA&amp;cb_client=search.gws-prod.gps&amp;w=408&amp;h=240&amp;yaw=174.55316&amp;pitch=0&amp;thumbfov=100", "link")</f>
        <v>link</v>
      </c>
    </row>
    <row r="274" spans="1:4" x14ac:dyDescent="0.45">
      <c r="A274" t="s">
        <v>276</v>
      </c>
      <c r="B274">
        <v>34.136081500000003</v>
      </c>
      <c r="C274">
        <v>-118.04477249999999</v>
      </c>
      <c r="D274" t="s">
        <v>5</v>
      </c>
    </row>
    <row r="275" spans="1:4" x14ac:dyDescent="0.45">
      <c r="A275" t="s">
        <v>277</v>
      </c>
      <c r="B275">
        <v>34.142373900000003</v>
      </c>
      <c r="C275">
        <v>-118.0299845</v>
      </c>
      <c r="D275" t="str">
        <f>HYPERLINK("https://lh5.googleusercontent.com/p/AF1QipNQ1iae52_uGLZWubEBb2Zh-0pxM0XBqqazOXFC=w408-h306-k-no", "link")</f>
        <v>link</v>
      </c>
    </row>
    <row r="276" spans="1:4" x14ac:dyDescent="0.45">
      <c r="A276" t="s">
        <v>278</v>
      </c>
      <c r="B276">
        <v>34.142868300000004</v>
      </c>
      <c r="C276">
        <v>-118.03001980000001</v>
      </c>
      <c r="D276" t="str">
        <f>HYPERLINK("https://streetviewpixels-pa.googleapis.com/v1/thumbnail?panoid=TcGXhLntH75B9hIwrAWtCw&amp;cb_client=search.gws-prod.gps&amp;w=408&amp;h=240&amp;yaw=179.84726&amp;pitch=0&amp;thumbfov=100", "link")</f>
        <v>link</v>
      </c>
    </row>
    <row r="277" spans="1:4" x14ac:dyDescent="0.45">
      <c r="A277" t="s">
        <v>279</v>
      </c>
      <c r="B277">
        <v>34.143089400000001</v>
      </c>
      <c r="C277">
        <v>-118.0299277</v>
      </c>
      <c r="D277" t="str">
        <f>HYPERLINK("https://streetviewpixels-pa.googleapis.com/v1/thumbnail?panoid=hSu063qjEjMWaZR9RLA0Ow&amp;cb_client=search.gws-prod.gps&amp;w=408&amp;h=240&amp;yaw=73.85411&amp;pitch=0&amp;thumbfov=100", "link")</f>
        <v>link</v>
      </c>
    </row>
    <row r="278" spans="1:4" x14ac:dyDescent="0.45">
      <c r="A278" t="s">
        <v>280</v>
      </c>
      <c r="B278">
        <v>34.136588199999998</v>
      </c>
      <c r="C278">
        <v>-118.046378</v>
      </c>
      <c r="D278" t="s">
        <v>5</v>
      </c>
    </row>
    <row r="279" spans="1:4" x14ac:dyDescent="0.45">
      <c r="A279" t="s">
        <v>281</v>
      </c>
      <c r="B279">
        <v>34.132874000000001</v>
      </c>
      <c r="C279">
        <v>-118.0457382</v>
      </c>
      <c r="D279" t="s">
        <v>5</v>
      </c>
    </row>
    <row r="280" spans="1:4" x14ac:dyDescent="0.45">
      <c r="A280" t="s">
        <v>282</v>
      </c>
      <c r="B280">
        <v>34.136223200000003</v>
      </c>
      <c r="C280">
        <v>-118.0485686</v>
      </c>
      <c r="D280" t="str">
        <f>HYPERLINK("https://streetviewpixels-pa.googleapis.com/v1/thumbnail?panoid=dTKk6IVrnEjCV1HYYWDnew&amp;cb_client=search.gws-prod.gps&amp;w=408&amp;h=240&amp;yaw=182.83412&amp;pitch=0&amp;thumbfov=100", "link")</f>
        <v>link</v>
      </c>
    </row>
    <row r="281" spans="1:4" x14ac:dyDescent="0.45">
      <c r="A281" t="s">
        <v>283</v>
      </c>
      <c r="B281">
        <v>34.141196000000001</v>
      </c>
      <c r="C281">
        <v>-118.025122</v>
      </c>
      <c r="D281" t="str">
        <f>HYPERLINK("https://streetviewpixels-pa.googleapis.com/v1/thumbnail?panoid=8LcLqrnFkPFY-fBWL2EU_g&amp;cb_client=search.gws-prod.gps&amp;w=408&amp;h=240&amp;yaw=53.089233&amp;pitch=0&amp;thumbfov=100", "link")</f>
        <v>link</v>
      </c>
    </row>
    <row r="282" spans="1:4" x14ac:dyDescent="0.45">
      <c r="A282" t="s">
        <v>284</v>
      </c>
      <c r="B282">
        <v>34.144826299999998</v>
      </c>
      <c r="C282">
        <v>-118.0273842</v>
      </c>
      <c r="D282" t="str">
        <f>HYPERLINK("https://streetviewpixels-pa.googleapis.com/v1/thumbnail?panoid=31XlxJ8_PaqSTFch70iYlA&amp;cb_client=search.gws-prod.gps&amp;w=408&amp;h=240&amp;yaw=31.548805&amp;pitch=0&amp;thumbfov=100", "link")</f>
        <v>link</v>
      </c>
    </row>
    <row r="283" spans="1:4" x14ac:dyDescent="0.45">
      <c r="A283" t="s">
        <v>285</v>
      </c>
      <c r="B283">
        <v>34.139831200000003</v>
      </c>
      <c r="C283">
        <v>-118.0231599</v>
      </c>
      <c r="D283" t="str">
        <f>HYPERLINK("https://streetviewpixels-pa.googleapis.com/v1/thumbnail?panoid=KLsRiUyWzgflLUt6KDxFIA&amp;cb_client=search.gws-prod.gps&amp;w=408&amp;h=240&amp;yaw=211.18956&amp;pitch=0&amp;thumbfov=100", "link")</f>
        <v>link</v>
      </c>
    </row>
    <row r="284" spans="1:4" x14ac:dyDescent="0.45">
      <c r="A284" t="s">
        <v>286</v>
      </c>
      <c r="B284">
        <v>34.142787400000003</v>
      </c>
      <c r="C284">
        <v>-118.0513756</v>
      </c>
      <c r="D284" t="str">
        <f>HYPERLINK("https://lh5.googleusercontent.com/p/AF1QipP7oZsujgo3yg3dGt31Zq7u6OZZAA0kqskVFDwp=w408-h306-k-no", "link")</f>
        <v>link</v>
      </c>
    </row>
    <row r="285" spans="1:4" x14ac:dyDescent="0.45">
      <c r="A285" t="s">
        <v>287</v>
      </c>
      <c r="B285">
        <v>34.139319200000003</v>
      </c>
      <c r="C285">
        <v>-118.05314180000001</v>
      </c>
      <c r="D285" t="str">
        <f>HYPERLINK("https://lh5.googleusercontent.com/p/AF1QipNDTH71KkZF7VEdIdHyCg3Bt51mASYCsS4dmAjq=w408-h276-k-no", "link")</f>
        <v>link</v>
      </c>
    </row>
    <row r="286" spans="1:4" x14ac:dyDescent="0.45">
      <c r="A286" t="s">
        <v>288</v>
      </c>
      <c r="B286">
        <v>34.142523599999997</v>
      </c>
      <c r="C286">
        <v>-118.05341180000001</v>
      </c>
      <c r="D286" t="str">
        <f>HYPERLINK("https://lh5.googleusercontent.com/p/AF1QipPEIlkQrlQRpNUDTh1CwEtjlXSz96W_M0n8wg1g=w408-h306-k-no", "link")</f>
        <v>link</v>
      </c>
    </row>
    <row r="287" spans="1:4" x14ac:dyDescent="0.45">
      <c r="A287" t="s">
        <v>289</v>
      </c>
      <c r="B287">
        <v>34.1334862</v>
      </c>
      <c r="C287">
        <v>-118.0035748</v>
      </c>
      <c r="D287" t="str">
        <f>HYPERLINK("https://streetviewpixels-pa.googleapis.com/v1/thumbnail?panoid=81pVxP8dKUz7K9amvSoNLw&amp;cb_client=search.gws-prod.gps&amp;w=408&amp;h=240&amp;yaw=270.58316&amp;pitch=0&amp;thumbfov=100", "link")</f>
        <v>link</v>
      </c>
    </row>
    <row r="288" spans="1:4" x14ac:dyDescent="0.45">
      <c r="A288" t="s">
        <v>290</v>
      </c>
      <c r="B288">
        <v>34.133452699999999</v>
      </c>
      <c r="C288">
        <v>-118.00306209999999</v>
      </c>
      <c r="D288" t="str">
        <f>HYPERLINK("https://streetviewpixels-pa.googleapis.com/v1/thumbnail?panoid=81pVxP8dKUz7K9amvSoNLw&amp;cb_client=search.gws-prod.gps&amp;w=408&amp;h=240&amp;yaw=270.58316&amp;pitch=0&amp;thumbfov=100", "link")</f>
        <v>link</v>
      </c>
    </row>
    <row r="289" spans="1:4" x14ac:dyDescent="0.45">
      <c r="A289" t="s">
        <v>291</v>
      </c>
      <c r="B289">
        <v>34.150504400000003</v>
      </c>
      <c r="C289">
        <v>-118.0019945</v>
      </c>
      <c r="D289" t="str">
        <f>HYPERLINK("https://streetviewpixels-pa.googleapis.com/v1/thumbnail?panoid=BPLfgfa5oa7WApjOBqgrPA&amp;cb_client=search.gws-prod.gps&amp;w=408&amp;h=240&amp;yaw=139.17552&amp;pitch=0&amp;thumbfov=100", "link")</f>
        <v>link</v>
      </c>
    </row>
    <row r="290" spans="1:4" x14ac:dyDescent="0.45">
      <c r="A290" t="s">
        <v>292</v>
      </c>
      <c r="B290">
        <v>34.134133200000001</v>
      </c>
      <c r="C290">
        <v>-118.0010766</v>
      </c>
      <c r="D290" t="str">
        <f>HYPERLINK("https://streetviewpixels-pa.googleapis.com/v1/thumbnail?panoid=870y3x2ANoU1EhXN26Oj5w&amp;cb_client=search.gws-prod.gps&amp;w=408&amp;h=240&amp;yaw=173.35039&amp;pitch=0&amp;thumbfov=100", "link")</f>
        <v>link</v>
      </c>
    </row>
    <row r="291" spans="1:4" x14ac:dyDescent="0.45">
      <c r="A291" t="s">
        <v>293</v>
      </c>
      <c r="B291">
        <v>34.116711199999997</v>
      </c>
      <c r="C291">
        <v>-118.003457</v>
      </c>
      <c r="D291" t="str">
        <f>HYPERLINK("https://streetviewpixels-pa.googleapis.com/v1/thumbnail?panoid=gcZwBsMQlesP4tH7kwpcTQ&amp;cb_client=search.gws-prod.gps&amp;w=408&amp;h=240&amp;yaw=56.15967&amp;pitch=0&amp;thumbfov=100", "link")</f>
        <v>link</v>
      </c>
    </row>
    <row r="292" spans="1:4" x14ac:dyDescent="0.45">
      <c r="A292" t="s">
        <v>294</v>
      </c>
      <c r="B292">
        <v>34.1194299</v>
      </c>
      <c r="C292">
        <v>-118.06416400000001</v>
      </c>
      <c r="D292" t="s">
        <v>5</v>
      </c>
    </row>
    <row r="293" spans="1:4" x14ac:dyDescent="0.45">
      <c r="A293" t="s">
        <v>295</v>
      </c>
      <c r="B293">
        <v>34.107985300000003</v>
      </c>
      <c r="C293">
        <v>-118.00872769999999</v>
      </c>
      <c r="D293" t="s">
        <v>5</v>
      </c>
    </row>
    <row r="294" spans="1:4" x14ac:dyDescent="0.45">
      <c r="A294" t="s">
        <v>296</v>
      </c>
      <c r="B294">
        <v>34.112143600000003</v>
      </c>
      <c r="C294">
        <v>-118.06480430000001</v>
      </c>
      <c r="D294" t="s">
        <v>5</v>
      </c>
    </row>
    <row r="295" spans="1:4" x14ac:dyDescent="0.45">
      <c r="A295" t="s">
        <v>297</v>
      </c>
      <c r="B295">
        <v>34.1075698</v>
      </c>
      <c r="C295">
        <v>-118.06160300000001</v>
      </c>
      <c r="D295" t="s">
        <v>5</v>
      </c>
    </row>
    <row r="296" spans="1:4" x14ac:dyDescent="0.45">
      <c r="A296" t="s">
        <v>298</v>
      </c>
      <c r="B296">
        <v>34.106491800000001</v>
      </c>
      <c r="C296">
        <v>-118.0649872</v>
      </c>
      <c r="D296" t="s">
        <v>5</v>
      </c>
    </row>
    <row r="297" spans="1:4" x14ac:dyDescent="0.45">
      <c r="A297" t="s">
        <v>299</v>
      </c>
      <c r="B297">
        <v>34.1265286</v>
      </c>
      <c r="C297">
        <v>-117.97676</v>
      </c>
      <c r="D297" t="s">
        <v>5</v>
      </c>
    </row>
    <row r="298" spans="1:4" x14ac:dyDescent="0.45">
      <c r="A298" t="s">
        <v>300</v>
      </c>
      <c r="B298">
        <v>34.125753400000001</v>
      </c>
      <c r="C298">
        <v>-117.9767875</v>
      </c>
      <c r="D298" t="s">
        <v>5</v>
      </c>
    </row>
    <row r="299" spans="1:4" x14ac:dyDescent="0.45">
      <c r="A299" t="s">
        <v>301</v>
      </c>
      <c r="B299">
        <v>34.127718700000003</v>
      </c>
      <c r="C299">
        <v>-117.974872</v>
      </c>
      <c r="D299" t="s">
        <v>5</v>
      </c>
    </row>
    <row r="300" spans="1:4" x14ac:dyDescent="0.45">
      <c r="A300" t="s">
        <v>302</v>
      </c>
      <c r="B300">
        <v>34.126116199999998</v>
      </c>
      <c r="C300">
        <v>-117.974872</v>
      </c>
      <c r="D300" t="s">
        <v>5</v>
      </c>
    </row>
    <row r="301" spans="1:4" x14ac:dyDescent="0.45">
      <c r="A301" t="s">
        <v>303</v>
      </c>
      <c r="B301">
        <v>34.114023000000003</v>
      </c>
      <c r="C301">
        <v>-117.9822649</v>
      </c>
      <c r="D301" t="str">
        <f>HYPERLINK("https://lh5.googleusercontent.com/p/AF1QipMUQzlFTqjcnCWdH1QBpiX4GuRp0hj8hdEs4mmT=w408-h286-k-no", "link")</f>
        <v>link</v>
      </c>
    </row>
    <row r="302" spans="1:4" x14ac:dyDescent="0.45">
      <c r="A302" t="s">
        <v>304</v>
      </c>
      <c r="B302">
        <v>34.129513600000003</v>
      </c>
      <c r="C302">
        <v>-117.97263</v>
      </c>
      <c r="D302" t="s">
        <v>5</v>
      </c>
    </row>
    <row r="303" spans="1:4" x14ac:dyDescent="0.45">
      <c r="A303" t="s">
        <v>305</v>
      </c>
      <c r="B303">
        <v>34.099144099999997</v>
      </c>
      <c r="C303">
        <v>-118.0021859</v>
      </c>
      <c r="D303" t="s">
        <v>5</v>
      </c>
    </row>
    <row r="304" spans="1:4" x14ac:dyDescent="0.45">
      <c r="A304" t="s">
        <v>306</v>
      </c>
      <c r="B304">
        <v>34.126645600000003</v>
      </c>
      <c r="C304">
        <v>-117.97240119999999</v>
      </c>
      <c r="D304" t="s">
        <v>5</v>
      </c>
    </row>
    <row r="305" spans="1:4" x14ac:dyDescent="0.45">
      <c r="A305" t="s">
        <v>307</v>
      </c>
      <c r="B305">
        <v>34.1405739</v>
      </c>
      <c r="C305">
        <v>-118.0122731</v>
      </c>
      <c r="D305" t="s">
        <v>5</v>
      </c>
    </row>
    <row r="306" spans="1:4" x14ac:dyDescent="0.45">
      <c r="A306" t="s">
        <v>308</v>
      </c>
      <c r="B306">
        <v>34.146322499999997</v>
      </c>
      <c r="C306">
        <v>-118.09425330000001</v>
      </c>
      <c r="D306" t="s">
        <v>5</v>
      </c>
    </row>
    <row r="307" spans="1:4" x14ac:dyDescent="0.45">
      <c r="A307" t="s">
        <v>309</v>
      </c>
      <c r="B307">
        <v>34.145866300000002</v>
      </c>
      <c r="C307">
        <v>-118.094802</v>
      </c>
      <c r="D307" t="s">
        <v>5</v>
      </c>
    </row>
    <row r="308" spans="1:4" x14ac:dyDescent="0.45">
      <c r="A308" t="s">
        <v>310</v>
      </c>
      <c r="B308">
        <v>34.146695399999999</v>
      </c>
      <c r="C308">
        <v>-118.0948477</v>
      </c>
      <c r="D308" t="s">
        <v>5</v>
      </c>
    </row>
    <row r="309" spans="1:4" x14ac:dyDescent="0.45">
      <c r="A309" t="s">
        <v>311</v>
      </c>
      <c r="B309">
        <v>34.1474385</v>
      </c>
      <c r="C309">
        <v>-118.0947563</v>
      </c>
      <c r="D309" t="s">
        <v>5</v>
      </c>
    </row>
    <row r="310" spans="1:4" x14ac:dyDescent="0.45">
      <c r="A310" t="s">
        <v>312</v>
      </c>
      <c r="B310">
        <v>34.146501999999998</v>
      </c>
      <c r="C310">
        <v>-118.095305</v>
      </c>
      <c r="D310" t="s">
        <v>5</v>
      </c>
    </row>
    <row r="311" spans="1:4" x14ac:dyDescent="0.45">
      <c r="A311" t="s">
        <v>313</v>
      </c>
      <c r="B311">
        <v>34.147216399999998</v>
      </c>
      <c r="C311">
        <v>-118.0951678</v>
      </c>
      <c r="D311" t="s">
        <v>5</v>
      </c>
    </row>
    <row r="312" spans="1:4" x14ac:dyDescent="0.45">
      <c r="A312" t="s">
        <v>314</v>
      </c>
      <c r="B312">
        <v>34.1469022</v>
      </c>
      <c r="C312">
        <v>-118.095305</v>
      </c>
      <c r="D312" t="s">
        <v>5</v>
      </c>
    </row>
    <row r="313" spans="1:4" x14ac:dyDescent="0.45">
      <c r="A313" t="s">
        <v>315</v>
      </c>
      <c r="B313">
        <v>34.146376600000004</v>
      </c>
      <c r="C313">
        <v>-118.09548789999999</v>
      </c>
      <c r="D313" t="s">
        <v>5</v>
      </c>
    </row>
    <row r="314" spans="1:4" x14ac:dyDescent="0.45">
      <c r="A314" t="s">
        <v>316</v>
      </c>
      <c r="B314">
        <v>34.147291799999998</v>
      </c>
      <c r="C314">
        <v>-118.09567079999999</v>
      </c>
      <c r="D314" t="s">
        <v>5</v>
      </c>
    </row>
    <row r="315" spans="1:4" x14ac:dyDescent="0.45">
      <c r="A315" t="s">
        <v>317</v>
      </c>
      <c r="B315">
        <v>34.146714799999998</v>
      </c>
      <c r="C315">
        <v>-118.09589939999999</v>
      </c>
      <c r="D315" t="s">
        <v>5</v>
      </c>
    </row>
    <row r="316" spans="1:4" x14ac:dyDescent="0.45">
      <c r="A316" t="s">
        <v>318</v>
      </c>
      <c r="B316">
        <v>34.146898899999997</v>
      </c>
      <c r="C316">
        <v>-118.0964481</v>
      </c>
      <c r="D316" t="s">
        <v>5</v>
      </c>
    </row>
    <row r="317" spans="1:4" x14ac:dyDescent="0.45">
      <c r="A317" t="s">
        <v>319</v>
      </c>
      <c r="B317">
        <v>34.147219</v>
      </c>
      <c r="C317">
        <v>-118.0964481</v>
      </c>
      <c r="D317" t="s">
        <v>5</v>
      </c>
    </row>
    <row r="318" spans="1:4" x14ac:dyDescent="0.45">
      <c r="A318" t="s">
        <v>320</v>
      </c>
      <c r="B318">
        <v>34.1520425</v>
      </c>
      <c r="C318">
        <v>-118.0947445</v>
      </c>
      <c r="D318" t="s">
        <v>5</v>
      </c>
    </row>
    <row r="319" spans="1:4" x14ac:dyDescent="0.45">
      <c r="A319" t="s">
        <v>321</v>
      </c>
      <c r="B319">
        <v>34.151949600000002</v>
      </c>
      <c r="C319">
        <v>-118.094802</v>
      </c>
      <c r="D319" t="s">
        <v>5</v>
      </c>
    </row>
    <row r="320" spans="1:4" x14ac:dyDescent="0.45">
      <c r="A320" t="s">
        <v>322</v>
      </c>
      <c r="B320">
        <v>34.151984900000002</v>
      </c>
      <c r="C320">
        <v>-118.0948056</v>
      </c>
      <c r="D320" t="s">
        <v>5</v>
      </c>
    </row>
    <row r="321" spans="1:4" x14ac:dyDescent="0.45">
      <c r="A321" t="s">
        <v>323</v>
      </c>
      <c r="B321">
        <v>34.150449500000001</v>
      </c>
      <c r="C321">
        <v>-118.095556</v>
      </c>
      <c r="D321" t="str">
        <f>HYPERLINK("https://streetviewpixels-pa.googleapis.com/v1/thumbnail?panoid=E6mzxgIwEYGlGmWTL2Azmw&amp;cb_client=search.gws-prod.gps&amp;w=408&amp;h=240&amp;yaw=261.81018&amp;pitch=0&amp;thumbfov=100", "link")</f>
        <v>link</v>
      </c>
    </row>
    <row r="322" spans="1:4" x14ac:dyDescent="0.45">
      <c r="A322" t="s">
        <v>324</v>
      </c>
      <c r="B322">
        <v>34.1281775</v>
      </c>
      <c r="C322">
        <v>-117.9702506</v>
      </c>
      <c r="D322" t="s">
        <v>5</v>
      </c>
    </row>
    <row r="323" spans="1:4" x14ac:dyDescent="0.45">
      <c r="A323" t="s">
        <v>325</v>
      </c>
      <c r="B323">
        <v>34.196038700000003</v>
      </c>
      <c r="C323">
        <v>-118.02231399999999</v>
      </c>
      <c r="D323" t="s">
        <v>5</v>
      </c>
    </row>
    <row r="324" spans="1:4" x14ac:dyDescent="0.45">
      <c r="A324" t="s">
        <v>326</v>
      </c>
      <c r="B324">
        <v>34.196210899999997</v>
      </c>
      <c r="C324">
        <v>-118.0225884</v>
      </c>
      <c r="D324" t="s">
        <v>5</v>
      </c>
    </row>
    <row r="325" spans="1:4" x14ac:dyDescent="0.45">
      <c r="A325" t="s">
        <v>327</v>
      </c>
      <c r="B325">
        <v>34.110252799999998</v>
      </c>
      <c r="C325">
        <v>-117.9537318</v>
      </c>
      <c r="D325" t="s">
        <v>5</v>
      </c>
    </row>
    <row r="326" spans="1:4" x14ac:dyDescent="0.45">
      <c r="A326" t="s">
        <v>328</v>
      </c>
      <c r="B326">
        <v>33.862990400000001</v>
      </c>
      <c r="C326">
        <v>-118.0831657</v>
      </c>
      <c r="D326" t="str">
        <f>HYPERLINK("https://streetviewpixels-pa.googleapis.com/v1/thumbnail?panoid=lQs7eGq3jdH7IxyNWT0GFA&amp;cb_client=search.gws-prod.gps&amp;w=408&amp;h=240&amp;yaw=327.34805&amp;pitch=0&amp;thumbfov=100", "link")</f>
        <v>link</v>
      </c>
    </row>
    <row r="327" spans="1:4" x14ac:dyDescent="0.45">
      <c r="A327" t="s">
        <v>329</v>
      </c>
      <c r="B327">
        <v>33.860154299999898</v>
      </c>
      <c r="C327">
        <v>-118.081425</v>
      </c>
      <c r="D327" t="str">
        <f>HYPERLINK("https://streetviewpixels-pa.googleapis.com/v1/thumbnail?panoid=_GaKXjauT0_FWGUvaeIN0Q&amp;cb_client=search.gws-prod.gps&amp;w=408&amp;h=240&amp;yaw=220.5527&amp;pitch=0&amp;thumbfov=100", "link")</f>
        <v>link</v>
      </c>
    </row>
    <row r="328" spans="1:4" x14ac:dyDescent="0.45">
      <c r="A328" t="s">
        <v>330</v>
      </c>
      <c r="B328">
        <v>33.859831999999997</v>
      </c>
      <c r="C328">
        <v>-118.094734</v>
      </c>
      <c r="D328" t="str">
        <f>HYPERLINK("https://streetviewpixels-pa.googleapis.com/v1/thumbnail?panoid=kiLwcs96wrrjEdRx_DsXwA&amp;cb_client=search.gws-prod.gps&amp;w=408&amp;h=240&amp;yaw=335.64734&amp;pitch=0&amp;thumbfov=100", "link")</f>
        <v>link</v>
      </c>
    </row>
    <row r="329" spans="1:4" x14ac:dyDescent="0.45">
      <c r="A329" t="s">
        <v>331</v>
      </c>
      <c r="B329">
        <v>33.860125999999902</v>
      </c>
      <c r="C329">
        <v>-118.09488949999999</v>
      </c>
      <c r="D329" t="str">
        <f>HYPERLINK("https://streetviewpixels-pa.googleapis.com/v1/thumbnail?panoid=vWEtRvp2vsuMCY4JddSD4Q&amp;cb_client=search.gws-prod.gps&amp;w=408&amp;h=240&amp;yaw=333.4731&amp;pitch=0&amp;thumbfov=100", "link")</f>
        <v>link</v>
      </c>
    </row>
    <row r="330" spans="1:4" x14ac:dyDescent="0.45">
      <c r="A330" t="s">
        <v>332</v>
      </c>
      <c r="B330">
        <v>33.865070500000002</v>
      </c>
      <c r="C330">
        <v>-118.0964237</v>
      </c>
      <c r="D330" t="str">
        <f>HYPERLINK("https://streetviewpixels-pa.googleapis.com/v1/thumbnail?panoid=bx_uwmBdGpol0egdE4Udfw&amp;cb_client=search.gws-prod.gps&amp;w=408&amp;h=240&amp;yaw=190.4759&amp;pitch=0&amp;thumbfov=100", "link")</f>
        <v>link</v>
      </c>
    </row>
    <row r="331" spans="1:4" x14ac:dyDescent="0.45">
      <c r="A331" t="s">
        <v>333</v>
      </c>
      <c r="B331">
        <v>33.867182200000002</v>
      </c>
      <c r="C331">
        <v>-118.0659933</v>
      </c>
      <c r="D331" t="s">
        <v>5</v>
      </c>
    </row>
    <row r="332" spans="1:4" x14ac:dyDescent="0.45">
      <c r="A332" t="s">
        <v>334</v>
      </c>
      <c r="B332">
        <v>33.863165000000002</v>
      </c>
      <c r="C332">
        <v>-118.0642474</v>
      </c>
      <c r="D332" t="str">
        <f>HYPERLINK("https://lh5.googleusercontent.com/p/AF1QipOxHhFyDRb-43xIBUXVcUhaf_K8mC26_yFd4rBl=w427-h240-k-no", "link")</f>
        <v>link</v>
      </c>
    </row>
    <row r="333" spans="1:4" x14ac:dyDescent="0.45">
      <c r="A333" t="s">
        <v>335</v>
      </c>
      <c r="B333">
        <v>33.851439599999999</v>
      </c>
      <c r="C333">
        <v>-118.0624262</v>
      </c>
      <c r="D333" t="s">
        <v>5</v>
      </c>
    </row>
    <row r="334" spans="1:4" x14ac:dyDescent="0.45">
      <c r="A334" t="s">
        <v>336</v>
      </c>
      <c r="B334">
        <v>33.853191500000001</v>
      </c>
      <c r="C334">
        <v>-118.06093989999999</v>
      </c>
      <c r="D334" t="s">
        <v>5</v>
      </c>
    </row>
    <row r="335" spans="1:4" x14ac:dyDescent="0.45">
      <c r="A335" t="s">
        <v>337</v>
      </c>
      <c r="B335">
        <v>33.851060500000003</v>
      </c>
      <c r="C335">
        <v>-118.05826450000001</v>
      </c>
      <c r="D335" t="s">
        <v>5</v>
      </c>
    </row>
    <row r="336" spans="1:4" x14ac:dyDescent="0.45">
      <c r="A336" t="s">
        <v>338</v>
      </c>
      <c r="B336">
        <v>33.849376800000002</v>
      </c>
      <c r="C336">
        <v>-118.06297499999999</v>
      </c>
      <c r="D336" t="s">
        <v>5</v>
      </c>
    </row>
    <row r="337" spans="1:4" x14ac:dyDescent="0.45">
      <c r="A337" t="s">
        <v>339</v>
      </c>
      <c r="B337">
        <v>33.8470412</v>
      </c>
      <c r="C337">
        <v>-118.0587675</v>
      </c>
      <c r="D337" t="s">
        <v>5</v>
      </c>
    </row>
    <row r="338" spans="1:4" x14ac:dyDescent="0.45">
      <c r="A338" t="s">
        <v>340</v>
      </c>
      <c r="B338">
        <v>33.8425668</v>
      </c>
      <c r="C338">
        <v>-118.09772839999999</v>
      </c>
      <c r="D338" t="s">
        <v>5</v>
      </c>
    </row>
    <row r="339" spans="1:4" x14ac:dyDescent="0.45">
      <c r="A339" t="s">
        <v>341</v>
      </c>
      <c r="B339">
        <v>34.135662500000002</v>
      </c>
      <c r="C339">
        <v>-117.9087212</v>
      </c>
      <c r="D339" t="str">
        <f>HYPERLINK("https://streetviewpixels-pa.googleapis.com/v1/thumbnail?panoid=II_1-HUOKN8yDUBM1MbbCg&amp;cb_client=search.gws-prod.gps&amp;w=408&amp;h=240&amp;yaw=103.3789&amp;pitch=0&amp;thumbfov=100", "link")</f>
        <v>link</v>
      </c>
    </row>
    <row r="340" spans="1:4" x14ac:dyDescent="0.45">
      <c r="A340" t="s">
        <v>342</v>
      </c>
      <c r="B340">
        <v>34.136519799999903</v>
      </c>
      <c r="C340">
        <v>-117.9065787</v>
      </c>
      <c r="D340" t="s">
        <v>5</v>
      </c>
    </row>
    <row r="341" spans="1:4" x14ac:dyDescent="0.45">
      <c r="A341" t="s">
        <v>343</v>
      </c>
      <c r="B341">
        <v>34.134553099999998</v>
      </c>
      <c r="C341">
        <v>-117.8950569</v>
      </c>
      <c r="D341" t="s">
        <v>5</v>
      </c>
    </row>
    <row r="342" spans="1:4" x14ac:dyDescent="0.45">
      <c r="A342" t="s">
        <v>344</v>
      </c>
      <c r="B342">
        <v>34.126210399999998</v>
      </c>
      <c r="C342">
        <v>-117.899861</v>
      </c>
      <c r="D342" t="str">
        <f>HYPERLINK("https://streetviewpixels-pa.googleapis.com/v1/thumbnail?panoid=weMZuoVToqK_th2lkol8Pg&amp;cb_client=search.gws-prod.gps&amp;w=408&amp;h=240&amp;yaw=140.4578&amp;pitch=0&amp;thumbfov=100", "link")</f>
        <v>link</v>
      </c>
    </row>
    <row r="343" spans="1:4" x14ac:dyDescent="0.45">
      <c r="A343" t="s">
        <v>345</v>
      </c>
      <c r="B343">
        <v>34.1338571</v>
      </c>
      <c r="C343">
        <v>-117.9232382</v>
      </c>
      <c r="D343" t="str">
        <f>HYPERLINK("https://streetviewpixels-pa.googleapis.com/v1/thumbnail?panoid=io4zUzREB-VWBJr6AJcJ7w&amp;cb_client=search.gws-prod.gps&amp;w=408&amp;h=240&amp;yaw=17.035732&amp;pitch=0&amp;thumbfov=100", "link")</f>
        <v>link</v>
      </c>
    </row>
    <row r="344" spans="1:4" x14ac:dyDescent="0.45">
      <c r="A344" t="s">
        <v>346</v>
      </c>
      <c r="B344">
        <v>34.130937099999997</v>
      </c>
      <c r="C344">
        <v>-117.8942787</v>
      </c>
      <c r="D344" t="s">
        <v>5</v>
      </c>
    </row>
    <row r="345" spans="1:4" x14ac:dyDescent="0.45">
      <c r="A345" t="s">
        <v>347</v>
      </c>
      <c r="B345">
        <v>34.130338100000003</v>
      </c>
      <c r="C345">
        <v>-117.89345470000001</v>
      </c>
      <c r="D345" t="s">
        <v>5</v>
      </c>
    </row>
    <row r="346" spans="1:4" x14ac:dyDescent="0.45">
      <c r="A346" t="s">
        <v>348</v>
      </c>
      <c r="B346">
        <v>34.137347900000002</v>
      </c>
      <c r="C346">
        <v>-117.8903389</v>
      </c>
      <c r="D346" t="str">
        <f>HYPERLINK("https://streetviewpixels-pa.googleapis.com/v1/thumbnail?panoid=c3Feh_NmmhFrFm0keWnAUA&amp;cb_client=search.gws-prod.gps&amp;w=408&amp;h=240&amp;yaw=204.76625&amp;pitch=0&amp;thumbfov=100", "link")</f>
        <v>link</v>
      </c>
    </row>
    <row r="347" spans="1:4" x14ac:dyDescent="0.45">
      <c r="A347" t="s">
        <v>349</v>
      </c>
      <c r="B347">
        <v>34.1313642</v>
      </c>
      <c r="C347">
        <v>-117.8884651</v>
      </c>
      <c r="D347" t="s">
        <v>5</v>
      </c>
    </row>
    <row r="348" spans="1:4" x14ac:dyDescent="0.45">
      <c r="A348" t="s">
        <v>350</v>
      </c>
      <c r="B348">
        <v>34.127990400000002</v>
      </c>
      <c r="C348">
        <v>-117.8894722</v>
      </c>
      <c r="D348" t="str">
        <f>HYPERLINK("https://streetviewpixels-pa.googleapis.com/v1/thumbnail?panoid=tOBakWVqfWIMI2XdemMY3w&amp;cb_client=search.gws-prod.gps&amp;w=408&amp;h=240&amp;yaw=80.785446&amp;pitch=0&amp;thumbfov=100", "link")</f>
        <v>link</v>
      </c>
    </row>
    <row r="349" spans="1:4" x14ac:dyDescent="0.45">
      <c r="A349" t="s">
        <v>351</v>
      </c>
      <c r="B349">
        <v>34.128136699999999</v>
      </c>
      <c r="C349">
        <v>-117.8891024</v>
      </c>
      <c r="D349" t="str">
        <f>HYPERLINK("https://streetviewpixels-pa.googleapis.com/v1/thumbnail?panoid=2YheOERkjFAffsUuGqDUJg&amp;cb_client=search.gws-prod.gps&amp;w=408&amp;h=240&amp;yaw=149.36893&amp;pitch=0&amp;thumbfov=100", "link")</f>
        <v>link</v>
      </c>
    </row>
    <row r="350" spans="1:4" x14ac:dyDescent="0.45">
      <c r="A350" t="s">
        <v>352</v>
      </c>
      <c r="B350">
        <v>34.129111899999998</v>
      </c>
      <c r="C350">
        <v>-117.88859410000001</v>
      </c>
      <c r="D350" t="s">
        <v>5</v>
      </c>
    </row>
    <row r="351" spans="1:4" x14ac:dyDescent="0.45">
      <c r="A351" t="s">
        <v>353</v>
      </c>
      <c r="B351">
        <v>34.129177400000003</v>
      </c>
      <c r="C351">
        <v>-117.8885566</v>
      </c>
      <c r="D351" t="s">
        <v>5</v>
      </c>
    </row>
    <row r="352" spans="1:4" x14ac:dyDescent="0.45">
      <c r="A352" t="s">
        <v>354</v>
      </c>
      <c r="B352">
        <v>34.128402999999999</v>
      </c>
      <c r="C352">
        <v>-117.8886744</v>
      </c>
      <c r="D352" t="str">
        <f>HYPERLINK("https://streetviewpixels-pa.googleapis.com/v1/thumbnail?panoid=pTiRuUhixXH-8bS75-PIAw&amp;cb_client=search.gws-prod.gps&amp;w=408&amp;h=240&amp;yaw=65.79867&amp;pitch=0&amp;thumbfov=100", "link")</f>
        <v>link</v>
      </c>
    </row>
    <row r="353" spans="1:4" x14ac:dyDescent="0.45">
      <c r="A353" t="s">
        <v>355</v>
      </c>
      <c r="B353">
        <v>34.130031000000002</v>
      </c>
      <c r="C353">
        <v>-117.8873664</v>
      </c>
      <c r="D353" t="s">
        <v>5</v>
      </c>
    </row>
    <row r="354" spans="1:4" x14ac:dyDescent="0.45">
      <c r="A354" t="s">
        <v>356</v>
      </c>
      <c r="B354">
        <v>34.121429800000001</v>
      </c>
      <c r="C354">
        <v>-117.8749196</v>
      </c>
      <c r="D354" t="s">
        <v>5</v>
      </c>
    </row>
    <row r="355" spans="1:4" x14ac:dyDescent="0.45">
      <c r="A355" t="s">
        <v>357</v>
      </c>
      <c r="B355">
        <v>34.121338299999998</v>
      </c>
      <c r="C355">
        <v>-117.8739676</v>
      </c>
      <c r="D355" t="str">
        <f>HYPERLINK("https://lh5.googleusercontent.com/p/AF1QipN443GztnWRsHvvJKI2ZUoyNq2oLlNhXxhyZSXu=w408-h306-k-no", "link")</f>
        <v>link</v>
      </c>
    </row>
    <row r="356" spans="1:4" x14ac:dyDescent="0.45">
      <c r="A356" t="s">
        <v>358</v>
      </c>
      <c r="B356">
        <v>34.121216799999999</v>
      </c>
      <c r="C356">
        <v>-117.8734406</v>
      </c>
      <c r="D356" t="str">
        <f>HYPERLINK("https://streetviewpixels-pa.googleapis.com/v1/thumbnail?panoid=xwdTxhGRJl5hQ3yHHKTZIQ&amp;cb_client=search.gws-prod.gps&amp;w=408&amp;h=240&amp;yaw=208.911&amp;pitch=0&amp;thumbfov=100", "link")</f>
        <v>link</v>
      </c>
    </row>
    <row r="357" spans="1:4" x14ac:dyDescent="0.45">
      <c r="A357" t="s">
        <v>359</v>
      </c>
      <c r="B357">
        <v>34.158952499999998</v>
      </c>
      <c r="C357">
        <v>-117.9110319</v>
      </c>
      <c r="D357" t="s">
        <v>5</v>
      </c>
    </row>
    <row r="358" spans="1:4" x14ac:dyDescent="0.45">
      <c r="A358" t="s">
        <v>360</v>
      </c>
      <c r="B358">
        <v>34.118494499999997</v>
      </c>
      <c r="C358">
        <v>-117.8551556</v>
      </c>
      <c r="D358" t="s">
        <v>5</v>
      </c>
    </row>
    <row r="359" spans="1:4" x14ac:dyDescent="0.45">
      <c r="A359" t="s">
        <v>361</v>
      </c>
      <c r="B359">
        <v>34.152715000000001</v>
      </c>
      <c r="C359">
        <v>-117.928882</v>
      </c>
      <c r="D359" t="s">
        <v>5</v>
      </c>
    </row>
    <row r="360" spans="1:4" x14ac:dyDescent="0.45">
      <c r="A360" t="s">
        <v>362</v>
      </c>
      <c r="B360">
        <v>34.100029299999903</v>
      </c>
      <c r="C360">
        <v>-117.8901638</v>
      </c>
      <c r="D360" t="str">
        <f>HYPERLINK("https://lh5.googleusercontent.com/p/AF1QipOXG6MboRpN2jQ1w6rtTm051BRLFfSxc4OMF3re=w408-h408-k-no", "link")</f>
        <v>link</v>
      </c>
    </row>
    <row r="361" spans="1:4" x14ac:dyDescent="0.45">
      <c r="A361" t="s">
        <v>363</v>
      </c>
      <c r="B361">
        <v>34.127732999999999</v>
      </c>
      <c r="C361">
        <v>-117.9340997</v>
      </c>
      <c r="D361" t="str">
        <f>HYPERLINK("https://streetviewpixels-pa.googleapis.com/v1/thumbnail?panoid=HO8GhvWSTfuyxqyRR8ctpQ&amp;cb_client=search.gws-prod.gps&amp;w=408&amp;h=240&amp;yaw=181.18417&amp;pitch=0&amp;thumbfov=100", "link")</f>
        <v>link</v>
      </c>
    </row>
    <row r="362" spans="1:4" x14ac:dyDescent="0.45">
      <c r="A362" t="s">
        <v>364</v>
      </c>
      <c r="B362">
        <v>34.1276285</v>
      </c>
      <c r="C362">
        <v>-117.9340881</v>
      </c>
      <c r="D362" t="str">
        <f>HYPERLINK("https://streetviewpixels-pa.googleapis.com/v1/thumbnail?panoid=HO8GhvWSTfuyxqyRR8ctpQ&amp;cb_client=search.gws-prod.gps&amp;w=408&amp;h=240&amp;yaw=181.18417&amp;pitch=0&amp;thumbfov=100", "link")</f>
        <v>link</v>
      </c>
    </row>
    <row r="363" spans="1:4" x14ac:dyDescent="0.45">
      <c r="A363" t="s">
        <v>365</v>
      </c>
      <c r="B363">
        <v>34.1229522</v>
      </c>
      <c r="C363">
        <v>-117.9331181</v>
      </c>
      <c r="D363" t="str">
        <f>HYPERLINK("https://streetviewpixels-pa.googleapis.com/v1/thumbnail?panoid=cWYrN8jWJwOqkELaa7HkCA&amp;cb_client=search.gws-prod.gps&amp;w=408&amp;h=240&amp;yaw=150.70018&amp;pitch=0&amp;thumbfov=100", "link")</f>
        <v>link</v>
      </c>
    </row>
    <row r="364" spans="1:4" x14ac:dyDescent="0.45">
      <c r="A364" t="s">
        <v>366</v>
      </c>
      <c r="B364">
        <v>34.092294199999998</v>
      </c>
      <c r="C364">
        <v>-117.8887416</v>
      </c>
      <c r="D364" t="s">
        <v>5</v>
      </c>
    </row>
    <row r="365" spans="1:4" x14ac:dyDescent="0.45">
      <c r="A365" t="s">
        <v>367</v>
      </c>
      <c r="B365">
        <v>34.092251099999999</v>
      </c>
      <c r="C365">
        <v>-117.8887397</v>
      </c>
      <c r="D365" t="s">
        <v>5</v>
      </c>
    </row>
    <row r="366" spans="1:4" x14ac:dyDescent="0.45">
      <c r="A366" t="s">
        <v>368</v>
      </c>
      <c r="B366">
        <v>34.107326</v>
      </c>
      <c r="C366">
        <v>-117.9317868</v>
      </c>
      <c r="D366" t="str">
        <f>HYPERLINK("https://streetviewpixels-pa.googleapis.com/v1/thumbnail?panoid=v2LcOTbUnvsca3sPnj0bQw&amp;cb_client=search.gws-prod.gps&amp;w=408&amp;h=240&amp;yaw=330.79825&amp;pitch=0&amp;thumbfov=100", "link")</f>
        <v>link</v>
      </c>
    </row>
    <row r="367" spans="1:4" x14ac:dyDescent="0.45">
      <c r="A367" t="s">
        <v>369</v>
      </c>
      <c r="B367">
        <v>34.091765500000001</v>
      </c>
      <c r="C367">
        <v>-117.8916861</v>
      </c>
      <c r="D367" t="str">
        <f>HYPERLINK("https://streetviewpixels-pa.googleapis.com/v1/thumbnail?panoid=Xc668fz2c-sF__C8dniJpw&amp;cb_client=search.gws-prod.gps&amp;w=408&amp;h=240&amp;yaw=266.96298&amp;pitch=0&amp;thumbfov=100", "link")</f>
        <v>link</v>
      </c>
    </row>
    <row r="368" spans="1:4" x14ac:dyDescent="0.45">
      <c r="A368" t="s">
        <v>370</v>
      </c>
      <c r="B368">
        <v>34.089717100000001</v>
      </c>
      <c r="C368">
        <v>-117.89304079999999</v>
      </c>
      <c r="D368" t="s">
        <v>5</v>
      </c>
    </row>
    <row r="369" spans="1:4" x14ac:dyDescent="0.45">
      <c r="A369" t="s">
        <v>371</v>
      </c>
      <c r="B369">
        <v>34.089116699999998</v>
      </c>
      <c r="C369">
        <v>-117.89310260000001</v>
      </c>
      <c r="D369" t="s">
        <v>5</v>
      </c>
    </row>
    <row r="370" spans="1:4" x14ac:dyDescent="0.45">
      <c r="A370" t="s">
        <v>372</v>
      </c>
      <c r="B370">
        <v>34.0890731</v>
      </c>
      <c r="C370">
        <v>-117.8941291</v>
      </c>
      <c r="D370" t="s">
        <v>5</v>
      </c>
    </row>
    <row r="371" spans="1:4" x14ac:dyDescent="0.45">
      <c r="A371" t="s">
        <v>373</v>
      </c>
      <c r="B371">
        <v>34.087259299999999</v>
      </c>
      <c r="C371">
        <v>-117.8893817</v>
      </c>
      <c r="D371" t="str">
        <f>HYPERLINK("https://streetviewpixels-pa.googleapis.com/v1/thumbnail?panoid=oxYVISSFIykXDhCMBmf6TA&amp;cb_client=search.gws-prod.gps&amp;w=408&amp;h=240&amp;yaw=176.3393&amp;pitch=0&amp;thumbfov=100", "link")</f>
        <v>link</v>
      </c>
    </row>
    <row r="372" spans="1:4" x14ac:dyDescent="0.45">
      <c r="A372" t="s">
        <v>374</v>
      </c>
      <c r="B372">
        <v>34.110675399999998</v>
      </c>
      <c r="C372">
        <v>-117.9430692</v>
      </c>
      <c r="D372" t="s">
        <v>5</v>
      </c>
    </row>
    <row r="373" spans="1:4" x14ac:dyDescent="0.45">
      <c r="A373" t="s">
        <v>375</v>
      </c>
      <c r="B373">
        <v>34.119998299999999</v>
      </c>
      <c r="C373">
        <v>-117.8287383</v>
      </c>
      <c r="D373" t="s">
        <v>5</v>
      </c>
    </row>
    <row r="374" spans="1:4" x14ac:dyDescent="0.45">
      <c r="A374" t="s">
        <v>376</v>
      </c>
      <c r="B374">
        <v>34.1199911</v>
      </c>
      <c r="C374">
        <v>-117.82872620000001</v>
      </c>
      <c r="D374" t="s">
        <v>5</v>
      </c>
    </row>
    <row r="375" spans="1:4" x14ac:dyDescent="0.45">
      <c r="A375" t="s">
        <v>377</v>
      </c>
      <c r="B375">
        <v>34.109344100000001</v>
      </c>
      <c r="C375">
        <v>-117.9466845</v>
      </c>
      <c r="D375" t="s">
        <v>5</v>
      </c>
    </row>
    <row r="376" spans="1:4" x14ac:dyDescent="0.45">
      <c r="A376" t="s">
        <v>378</v>
      </c>
      <c r="B376">
        <v>34.135789299999999</v>
      </c>
      <c r="C376">
        <v>-117.8639268</v>
      </c>
      <c r="D376" t="s">
        <v>5</v>
      </c>
    </row>
    <row r="377" spans="1:4" x14ac:dyDescent="0.45">
      <c r="A377" t="s">
        <v>379</v>
      </c>
      <c r="B377">
        <v>34.135696799999998</v>
      </c>
      <c r="C377">
        <v>-117.8638555</v>
      </c>
      <c r="D377" t="s">
        <v>5</v>
      </c>
    </row>
    <row r="378" spans="1:4" x14ac:dyDescent="0.45">
      <c r="A378" t="s">
        <v>380</v>
      </c>
      <c r="B378">
        <v>34.138195000000003</v>
      </c>
      <c r="C378">
        <v>-117.8583374</v>
      </c>
      <c r="D378" t="str">
        <f>HYPERLINK("https://lh5.googleusercontent.com/p/AF1QipPcudOo9odJ0epVXBEM7x0fnvGl0_meN0QjKi9g=w408-h544-k-no", "link")</f>
        <v>link</v>
      </c>
    </row>
    <row r="379" spans="1:4" x14ac:dyDescent="0.45">
      <c r="A379" t="s">
        <v>381</v>
      </c>
      <c r="B379">
        <v>34.088726600000001</v>
      </c>
      <c r="C379">
        <v>-117.9538405</v>
      </c>
      <c r="D379" t="str">
        <f>HYPERLINK("https://streetviewpixels-pa.googleapis.com/v1/thumbnail?panoid=JklTl4KYUdrS5QCtoW66Ig&amp;cb_client=search.gws-prod.gps&amp;w=408&amp;h=240&amp;yaw=349.68042&amp;pitch=0&amp;thumbfov=100", "link")</f>
        <v>link</v>
      </c>
    </row>
    <row r="380" spans="1:4" x14ac:dyDescent="0.45">
      <c r="A380" t="s">
        <v>382</v>
      </c>
      <c r="B380">
        <v>34.0878516</v>
      </c>
      <c r="C380">
        <v>-117.95410630000001</v>
      </c>
      <c r="D380" t="s">
        <v>5</v>
      </c>
    </row>
    <row r="381" spans="1:4" x14ac:dyDescent="0.45">
      <c r="A381" t="s">
        <v>383</v>
      </c>
      <c r="B381">
        <v>34.0858104</v>
      </c>
      <c r="C381">
        <v>-117.95794170000001</v>
      </c>
      <c r="D381" t="str">
        <f>HYPERLINK("https://lh5.googleusercontent.com/p/AF1QipPTfh03AlyfA7FP_YWKp2kPkanych_wIPJoc-0o=w408-h725-k-no", "link")</f>
        <v>link</v>
      </c>
    </row>
    <row r="382" spans="1:4" x14ac:dyDescent="0.45">
      <c r="A382" t="s">
        <v>384</v>
      </c>
      <c r="B382">
        <v>34.087115400000002</v>
      </c>
      <c r="C382">
        <v>-117.9614218</v>
      </c>
      <c r="D382" t="str">
        <f>HYPERLINK("https://streetviewpixels-pa.googleapis.com/v1/thumbnail?panoid=HysznRI8-0Ik9voLJdDvAQ&amp;cb_client=search.gws-prod.gps&amp;w=408&amp;h=240&amp;yaw=73.791664&amp;pitch=0&amp;thumbfov=100", "link")</f>
        <v>link</v>
      </c>
    </row>
    <row r="383" spans="1:4" x14ac:dyDescent="0.45">
      <c r="A383" t="s">
        <v>385</v>
      </c>
      <c r="B383">
        <v>34.111039599999998</v>
      </c>
      <c r="C383">
        <v>-117.9498878</v>
      </c>
      <c r="D383" t="s">
        <v>5</v>
      </c>
    </row>
    <row r="384" spans="1:4" x14ac:dyDescent="0.45">
      <c r="A384" t="s">
        <v>386</v>
      </c>
      <c r="B384">
        <v>34.110999399999997</v>
      </c>
      <c r="C384">
        <v>-117.9513522</v>
      </c>
      <c r="D384" t="s">
        <v>5</v>
      </c>
    </row>
    <row r="385" spans="1:4" x14ac:dyDescent="0.45">
      <c r="A385" t="s">
        <v>387</v>
      </c>
      <c r="B385">
        <v>34.109544300000003</v>
      </c>
      <c r="C385">
        <v>-117.9510776</v>
      </c>
      <c r="D385" t="s">
        <v>5</v>
      </c>
    </row>
    <row r="386" spans="1:4" x14ac:dyDescent="0.45">
      <c r="A386" t="s">
        <v>388</v>
      </c>
      <c r="B386">
        <v>34.079469099999997</v>
      </c>
      <c r="C386">
        <v>-117.89953629999999</v>
      </c>
      <c r="D386" t="str">
        <f>HYPERLINK("https://streetviewpixels-pa.googleapis.com/v1/thumbnail?panoid=733MZt6Ih4fmA0RFIeTc0Q&amp;cb_client=search.gws-prod.gps&amp;w=408&amp;h=240&amp;yaw=28.654688&amp;pitch=0&amp;thumbfov=100", "link")</f>
        <v>link</v>
      </c>
    </row>
    <row r="387" spans="1:4" x14ac:dyDescent="0.45">
      <c r="A387" t="s">
        <v>389</v>
      </c>
      <c r="B387">
        <v>34.0820413</v>
      </c>
      <c r="C387">
        <v>-117.90842290000001</v>
      </c>
      <c r="D387" t="s">
        <v>5</v>
      </c>
    </row>
    <row r="388" spans="1:4" x14ac:dyDescent="0.45">
      <c r="A388" t="s">
        <v>390</v>
      </c>
      <c r="B388">
        <v>34.072363099999997</v>
      </c>
      <c r="C388">
        <v>-117.8995389</v>
      </c>
      <c r="D388" t="str">
        <f>HYPERLINK("https://streetviewpixels-pa.googleapis.com/v1/thumbnail?panoid=GH-kR-s671-WzoM11yNznw&amp;cb_client=search.gws-prod.gps&amp;w=408&amp;h=240&amp;yaw=163.66928&amp;pitch=0&amp;thumbfov=100", "link")</f>
        <v>link</v>
      </c>
    </row>
    <row r="389" spans="1:4" x14ac:dyDescent="0.45">
      <c r="A389" t="s">
        <v>391</v>
      </c>
      <c r="B389">
        <v>34.084924600000001</v>
      </c>
      <c r="C389">
        <v>-117.96430220000001</v>
      </c>
      <c r="D389" t="str">
        <f>HYPERLINK("https://streetviewpixels-pa.googleapis.com/v1/thumbnail?panoid=do_UrKrlA2GBAWIGvy3COA&amp;cb_client=search.gws-prod.gps&amp;w=408&amp;h=240&amp;yaw=201.93785&amp;pitch=0&amp;thumbfov=100", "link")</f>
        <v>link</v>
      </c>
    </row>
    <row r="390" spans="1:4" x14ac:dyDescent="0.45">
      <c r="A390" t="s">
        <v>392</v>
      </c>
      <c r="B390">
        <v>34.071579</v>
      </c>
      <c r="C390">
        <v>-117.958815</v>
      </c>
      <c r="D390" t="str">
        <f>HYPERLINK("https://streetviewpixels-pa.googleapis.com/v1/thumbnail?panoid=ImLs2M5HZY6wKX8GTgWw1w&amp;cb_client=search.gws-prod.gps&amp;w=408&amp;h=240&amp;yaw=167.73973&amp;pitch=0&amp;thumbfov=100", "link")</f>
        <v>link</v>
      </c>
    </row>
    <row r="391" spans="1:4" x14ac:dyDescent="0.45">
      <c r="A391" t="s">
        <v>393</v>
      </c>
      <c r="B391">
        <v>34.065437199999998</v>
      </c>
      <c r="C391">
        <v>-117.9461299</v>
      </c>
      <c r="D391" t="s">
        <v>5</v>
      </c>
    </row>
    <row r="392" spans="1:4" x14ac:dyDescent="0.45">
      <c r="A392" t="s">
        <v>394</v>
      </c>
      <c r="B392">
        <v>34.064318800000002</v>
      </c>
      <c r="C392">
        <v>-117.9468131</v>
      </c>
      <c r="D392" t="s">
        <v>5</v>
      </c>
    </row>
    <row r="393" spans="1:4" x14ac:dyDescent="0.45">
      <c r="A393" t="s">
        <v>395</v>
      </c>
      <c r="B393">
        <v>34.063582500000003</v>
      </c>
      <c r="C393">
        <v>-117.946602</v>
      </c>
      <c r="D393" t="s">
        <v>5</v>
      </c>
    </row>
    <row r="394" spans="1:4" x14ac:dyDescent="0.45">
      <c r="A394" t="s">
        <v>396</v>
      </c>
      <c r="B394">
        <v>34.062979499999997</v>
      </c>
      <c r="C394">
        <v>-117.9467521</v>
      </c>
      <c r="D394" t="s">
        <v>5</v>
      </c>
    </row>
    <row r="395" spans="1:4" x14ac:dyDescent="0.45">
      <c r="A395" t="s">
        <v>397</v>
      </c>
      <c r="B395">
        <v>34.065000400000002</v>
      </c>
      <c r="C395">
        <v>-117.9450148</v>
      </c>
      <c r="D395" t="s">
        <v>5</v>
      </c>
    </row>
    <row r="396" spans="1:4" x14ac:dyDescent="0.45">
      <c r="A396" t="s">
        <v>398</v>
      </c>
      <c r="B396">
        <v>34.064842599999999</v>
      </c>
      <c r="C396">
        <v>-117.9447624</v>
      </c>
      <c r="D396" t="s">
        <v>5</v>
      </c>
    </row>
    <row r="397" spans="1:4" x14ac:dyDescent="0.45">
      <c r="A397" t="s">
        <v>399</v>
      </c>
      <c r="B397">
        <v>34.062640299999998</v>
      </c>
      <c r="C397">
        <v>-117.94536119999999</v>
      </c>
      <c r="D397" t="s">
        <v>5</v>
      </c>
    </row>
    <row r="398" spans="1:4" x14ac:dyDescent="0.45">
      <c r="A398" t="s">
        <v>400</v>
      </c>
      <c r="B398">
        <v>34.0637896</v>
      </c>
      <c r="C398">
        <v>-117.9442121</v>
      </c>
      <c r="D398" t="s">
        <v>5</v>
      </c>
    </row>
    <row r="399" spans="1:4" x14ac:dyDescent="0.45">
      <c r="A399" t="s">
        <v>401</v>
      </c>
      <c r="B399">
        <v>34.071258200000003</v>
      </c>
      <c r="C399">
        <v>-117.9374751</v>
      </c>
      <c r="D399" t="str">
        <f>HYPERLINK("https://streetviewpixels-pa.googleapis.com/v1/thumbnail?panoid=Y8vqfJhUXiVk_aZ0FrxZTQ&amp;cb_client=search.gws-prod.gps&amp;w=408&amp;h=240&amp;yaw=114.5358&amp;pitch=0&amp;thumbfov=100", "link")</f>
        <v>link</v>
      </c>
    </row>
    <row r="400" spans="1:4" x14ac:dyDescent="0.45">
      <c r="A400" t="s">
        <v>402</v>
      </c>
      <c r="B400">
        <v>33.918668699999998</v>
      </c>
      <c r="C400">
        <v>-118.17544119999999</v>
      </c>
      <c r="D400" t="s">
        <v>5</v>
      </c>
    </row>
    <row r="401" spans="1:4" x14ac:dyDescent="0.45">
      <c r="A401" t="s">
        <v>403</v>
      </c>
      <c r="B401">
        <v>33.972225299999998</v>
      </c>
      <c r="C401">
        <v>-118.2040033</v>
      </c>
      <c r="D401" t="s">
        <v>5</v>
      </c>
    </row>
    <row r="402" spans="1:4" x14ac:dyDescent="0.45">
      <c r="A402" t="s">
        <v>404</v>
      </c>
      <c r="B402">
        <v>33.973120100000003</v>
      </c>
      <c r="C402">
        <v>-118.2049172</v>
      </c>
      <c r="D402" t="s">
        <v>5</v>
      </c>
    </row>
    <row r="403" spans="1:4" x14ac:dyDescent="0.45">
      <c r="A403" t="s">
        <v>405</v>
      </c>
      <c r="B403">
        <v>33.972983800000002</v>
      </c>
      <c r="C403">
        <v>-118.2054656</v>
      </c>
      <c r="D403" t="s">
        <v>5</v>
      </c>
    </row>
    <row r="404" spans="1:4" x14ac:dyDescent="0.45">
      <c r="A404" t="s">
        <v>406</v>
      </c>
      <c r="B404">
        <v>33.973687099999999</v>
      </c>
      <c r="C404">
        <v>-118.2050543</v>
      </c>
      <c r="D404" t="s">
        <v>5</v>
      </c>
    </row>
    <row r="405" spans="1:4" x14ac:dyDescent="0.45">
      <c r="A405" t="s">
        <v>407</v>
      </c>
      <c r="B405">
        <v>33.972672299999999</v>
      </c>
      <c r="C405">
        <v>-118.20579739999999</v>
      </c>
      <c r="D405" t="str">
        <f>HYPERLINK("https://streetviewpixels-pa.googleapis.com/v1/thumbnail?panoid=FjjVngCBpkExVHCCQGuKCw&amp;cb_client=search.gws-prod.gps&amp;w=408&amp;h=240&amp;yaw=2.678052&amp;pitch=0&amp;thumbfov=100", "link")</f>
        <v>link</v>
      </c>
    </row>
    <row r="406" spans="1:4" x14ac:dyDescent="0.45">
      <c r="A406" t="s">
        <v>408</v>
      </c>
      <c r="B406">
        <v>33.953929899999999</v>
      </c>
      <c r="C406">
        <v>-118.1124148</v>
      </c>
      <c r="D406" t="str">
        <f>HYPERLINK("https://streetviewpixels-pa.googleapis.com/v1/thumbnail?panoid=TI6aURi4-w2_DLuJK3RkEQ&amp;cb_client=search.gws-prod.gps&amp;w=408&amp;h=240&amp;yaw=71.10632&amp;pitch=0&amp;thumbfov=100", "link")</f>
        <v>link</v>
      </c>
    </row>
    <row r="407" spans="1:4" x14ac:dyDescent="0.45">
      <c r="A407" t="s">
        <v>409</v>
      </c>
      <c r="B407">
        <v>33.972682499999998</v>
      </c>
      <c r="C407">
        <v>-118.2065166</v>
      </c>
      <c r="D407" t="s">
        <v>5</v>
      </c>
    </row>
    <row r="408" spans="1:4" x14ac:dyDescent="0.45">
      <c r="A408" t="s">
        <v>410</v>
      </c>
      <c r="B408">
        <v>33.958919600000002</v>
      </c>
      <c r="C408">
        <v>-118.1117744</v>
      </c>
      <c r="D408" t="str">
        <f>HYPERLINK("https://streetviewpixels-pa.googleapis.com/v1/thumbnail?panoid=rziMSxyNpQ0Wvg9hwqNLNw&amp;cb_client=search.gws-prod.gps&amp;w=408&amp;h=240&amp;yaw=7.8010345&amp;pitch=0&amp;thumbfov=100", "link")</f>
        <v>link</v>
      </c>
    </row>
    <row r="409" spans="1:4" x14ac:dyDescent="0.45">
      <c r="A409" t="s">
        <v>411</v>
      </c>
      <c r="B409">
        <v>33.9590137</v>
      </c>
      <c r="C409">
        <v>-118.111739</v>
      </c>
      <c r="D409" t="str">
        <f>HYPERLINK("https://lh5.googleusercontent.com/p/AF1QipNgdYXSqyyI6rxIhuRbgSSI1A1NxtDVeEvsANas=w426-h240-k-no", "link")</f>
        <v>link</v>
      </c>
    </row>
    <row r="410" spans="1:4" x14ac:dyDescent="0.45">
      <c r="A410" t="s">
        <v>412</v>
      </c>
      <c r="B410">
        <v>33.930672299999998</v>
      </c>
      <c r="C410">
        <v>-118.2026781</v>
      </c>
      <c r="D410" t="s">
        <v>5</v>
      </c>
    </row>
    <row r="411" spans="1:4" x14ac:dyDescent="0.45">
      <c r="A411" t="s">
        <v>413</v>
      </c>
      <c r="B411">
        <v>33.975887999999998</v>
      </c>
      <c r="C411">
        <v>-118.2065166</v>
      </c>
      <c r="D411" t="s">
        <v>5</v>
      </c>
    </row>
    <row r="412" spans="1:4" x14ac:dyDescent="0.45">
      <c r="A412" t="s">
        <v>414</v>
      </c>
      <c r="B412">
        <v>33.930129200000003</v>
      </c>
      <c r="C412">
        <v>-118.2030894</v>
      </c>
      <c r="D412" t="s">
        <v>5</v>
      </c>
    </row>
    <row r="413" spans="1:4" x14ac:dyDescent="0.45">
      <c r="A413" t="s">
        <v>415</v>
      </c>
      <c r="B413">
        <v>33.930646400000001</v>
      </c>
      <c r="C413">
        <v>-118.20391189999999</v>
      </c>
      <c r="D413" t="s">
        <v>5</v>
      </c>
    </row>
    <row r="414" spans="1:4" x14ac:dyDescent="0.45">
      <c r="A414" t="s">
        <v>416</v>
      </c>
      <c r="B414">
        <v>33.929832599999997</v>
      </c>
      <c r="C414">
        <v>-118.2036377</v>
      </c>
      <c r="D414" t="s">
        <v>5</v>
      </c>
    </row>
    <row r="415" spans="1:4" x14ac:dyDescent="0.45">
      <c r="A415" t="s">
        <v>417</v>
      </c>
      <c r="B415">
        <v>33.975462399999998</v>
      </c>
      <c r="C415">
        <v>-118.20838999999999</v>
      </c>
      <c r="D415" t="s">
        <v>5</v>
      </c>
    </row>
    <row r="416" spans="1:4" x14ac:dyDescent="0.45">
      <c r="A416" t="s">
        <v>418</v>
      </c>
      <c r="B416">
        <v>33.929856800000003</v>
      </c>
      <c r="C416">
        <v>-118.2041861</v>
      </c>
      <c r="D416" t="s">
        <v>5</v>
      </c>
    </row>
    <row r="417" spans="1:4" x14ac:dyDescent="0.45">
      <c r="A417" t="s">
        <v>419</v>
      </c>
      <c r="B417">
        <v>33.998445099999998</v>
      </c>
      <c r="C417">
        <v>-118.1460058</v>
      </c>
      <c r="D417" t="s">
        <v>5</v>
      </c>
    </row>
    <row r="418" spans="1:4" x14ac:dyDescent="0.45">
      <c r="A418" t="s">
        <v>420</v>
      </c>
      <c r="B418">
        <v>33.998638999999997</v>
      </c>
      <c r="C418">
        <v>-118.1448171</v>
      </c>
      <c r="D418" t="s">
        <v>5</v>
      </c>
    </row>
    <row r="419" spans="1:4" x14ac:dyDescent="0.45">
      <c r="A419" t="s">
        <v>421</v>
      </c>
      <c r="B419">
        <v>33.977544600000002</v>
      </c>
      <c r="C419">
        <v>-118.1138181</v>
      </c>
      <c r="D419" t="str">
        <f>HYPERLINK("https://streetviewpixels-pa.googleapis.com/v1/thumbnail?panoid=URzn_eB9zBm_Kb6IBt_XYQ&amp;cb_client=search.gws-prod.gps&amp;w=408&amp;h=240&amp;yaw=296.04025&amp;pitch=0&amp;thumbfov=100", "link")</f>
        <v>link</v>
      </c>
    </row>
    <row r="420" spans="1:4" x14ac:dyDescent="0.45">
      <c r="A420" t="s">
        <v>422</v>
      </c>
      <c r="B420">
        <v>33.955496199999999</v>
      </c>
      <c r="C420">
        <v>-118.1616892</v>
      </c>
      <c r="D420" t="s">
        <v>5</v>
      </c>
    </row>
    <row r="421" spans="1:4" x14ac:dyDescent="0.45">
      <c r="A421" t="s">
        <v>423</v>
      </c>
      <c r="B421">
        <v>33.949942299999996</v>
      </c>
      <c r="C421">
        <v>-118.1643796</v>
      </c>
      <c r="D421" t="str">
        <f>HYPERLINK("https://streetviewpixels-pa.googleapis.com/v1/thumbnail?panoid=EujRMJRH6e3yiBxEHqqR2w&amp;cb_client=search.gws-prod.gps&amp;w=408&amp;h=240&amp;yaw=166.96991&amp;pitch=0&amp;thumbfov=100", "link")</f>
        <v>link</v>
      </c>
    </row>
    <row r="422" spans="1:4" x14ac:dyDescent="0.45">
      <c r="A422" t="s">
        <v>424</v>
      </c>
      <c r="B422">
        <v>33.948327499999998</v>
      </c>
      <c r="C422">
        <v>-118.1567192</v>
      </c>
      <c r="D422" t="str">
        <f>HYPERLINK("https://streetviewpixels-pa.googleapis.com/v1/thumbnail?panoid=nToXLGPpQtSVJw2WrKlGxg&amp;cb_client=search.gws-prod.gps&amp;w=408&amp;h=240&amp;yaw=284.2979&amp;pitch=0&amp;thumbfov=100", "link")</f>
        <v>link</v>
      </c>
    </row>
    <row r="423" spans="1:4" x14ac:dyDescent="0.45">
      <c r="A423" t="s">
        <v>425</v>
      </c>
      <c r="B423">
        <v>33.968474399999998</v>
      </c>
      <c r="C423">
        <v>-118.1633047</v>
      </c>
      <c r="D423" t="str">
        <f>HYPERLINK("https://streetviewpixels-pa.googleapis.com/v1/thumbnail?panoid=uNxeSBhxL6nFTc4rU-CpDQ&amp;cb_client=search.gws-prod.gps&amp;w=408&amp;h=240&amp;yaw=100.69275&amp;pitch=0&amp;thumbfov=100", "link")</f>
        <v>link</v>
      </c>
    </row>
    <row r="424" spans="1:4" x14ac:dyDescent="0.45">
      <c r="A424" t="s">
        <v>426</v>
      </c>
      <c r="B424">
        <v>33.972973600000003</v>
      </c>
      <c r="C424">
        <v>-118.1644903</v>
      </c>
      <c r="D424" t="s">
        <v>5</v>
      </c>
    </row>
    <row r="425" spans="1:4" x14ac:dyDescent="0.45">
      <c r="A425" t="s">
        <v>427</v>
      </c>
      <c r="B425">
        <v>33.959557199999999</v>
      </c>
      <c r="C425">
        <v>-118.1847415</v>
      </c>
      <c r="D425" t="str">
        <f>HYPERLINK("https://streetviewpixels-pa.googleapis.com/v1/thumbnail?panoid=EmCutQeaGretfUz3EgsrVg&amp;cb_client=search.gws-prod.gps&amp;w=408&amp;h=240&amp;yaw=78.77958&amp;pitch=0&amp;thumbfov=100", "link")</f>
        <v>link</v>
      </c>
    </row>
    <row r="426" spans="1:4" x14ac:dyDescent="0.45">
      <c r="A426" t="s">
        <v>428</v>
      </c>
      <c r="B426">
        <v>33.956009799999997</v>
      </c>
      <c r="C426">
        <v>-118.1340943</v>
      </c>
      <c r="D426" t="s">
        <v>5</v>
      </c>
    </row>
    <row r="427" spans="1:4" x14ac:dyDescent="0.45">
      <c r="A427" t="s">
        <v>429</v>
      </c>
      <c r="B427">
        <v>33.9415598</v>
      </c>
      <c r="C427">
        <v>-118.1341321</v>
      </c>
      <c r="D427" t="str">
        <f>HYPERLINK("https://streetviewpixels-pa.googleapis.com/v1/thumbnail?panoid=OgVwDD55NsmoTf0zvVOn1Q&amp;cb_client=search.gws-prod.gps&amp;w=408&amp;h=240&amp;yaw=110.32362&amp;pitch=0&amp;thumbfov=100", "link")</f>
        <v>link</v>
      </c>
    </row>
    <row r="428" spans="1:4" x14ac:dyDescent="0.45">
      <c r="A428" t="s">
        <v>430</v>
      </c>
      <c r="B428">
        <v>33.940142899999998</v>
      </c>
      <c r="C428">
        <v>-118.1345218</v>
      </c>
      <c r="D428" t="s">
        <v>5</v>
      </c>
    </row>
    <row r="429" spans="1:4" x14ac:dyDescent="0.45">
      <c r="A429" t="s">
        <v>431</v>
      </c>
      <c r="B429">
        <v>33.941057899999997</v>
      </c>
      <c r="C429">
        <v>-118.13306780000001</v>
      </c>
      <c r="D429" t="str">
        <f>HYPERLINK("https://streetviewpixels-pa.googleapis.com/v1/thumbnail?panoid=6BXHp6O7YoFiT1zvjAOJrA&amp;cb_client=search.gws-prod.gps&amp;w=408&amp;h=240&amp;yaw=221.57654&amp;pitch=0&amp;thumbfov=100", "link")</f>
        <v>link</v>
      </c>
    </row>
    <row r="430" spans="1:4" x14ac:dyDescent="0.45">
      <c r="A430" t="s">
        <v>432</v>
      </c>
      <c r="B430">
        <v>33.939453299999997</v>
      </c>
      <c r="C430">
        <v>-118.13247370000001</v>
      </c>
      <c r="D430" t="str">
        <f>HYPERLINK("https://streetviewpixels-pa.googleapis.com/v1/thumbnail?panoid=g2gtPPnIcdQ0S2SwykSAoA&amp;cb_client=search.gws-prod.gps&amp;w=408&amp;h=240&amp;yaw=182.90524&amp;pitch=0&amp;thumbfov=100", "link")</f>
        <v>link</v>
      </c>
    </row>
    <row r="431" spans="1:4" x14ac:dyDescent="0.45">
      <c r="A431" t="s">
        <v>433</v>
      </c>
      <c r="B431">
        <v>33.938626399999997</v>
      </c>
      <c r="C431">
        <v>-118.13221590000001</v>
      </c>
      <c r="D431" t="str">
        <f>HYPERLINK("https://streetviewpixels-pa.googleapis.com/v1/thumbnail?panoid=RBhwHCf9NK7IL26gmI1JuQ&amp;cb_client=search.gws-prod.gps&amp;w=408&amp;h=240&amp;yaw=340.26956&amp;pitch=0&amp;thumbfov=100", "link")</f>
        <v>link</v>
      </c>
    </row>
    <row r="432" spans="1:4" x14ac:dyDescent="0.45">
      <c r="A432" t="s">
        <v>434</v>
      </c>
      <c r="B432">
        <v>33.976311600000002</v>
      </c>
      <c r="C432">
        <v>-118.1874583</v>
      </c>
      <c r="D432" t="str">
        <f>HYPERLINK("https://streetviewpixels-pa.googleapis.com/v1/thumbnail?panoid=RZxgaOIR2t4M-nMDwWAc2A&amp;cb_client=search.gws-prod.gps&amp;w=408&amp;h=240&amp;yaw=269.91345&amp;pitch=0&amp;thumbfov=100", "link")</f>
        <v>link</v>
      </c>
    </row>
    <row r="433" spans="1:4" x14ac:dyDescent="0.45">
      <c r="A433" t="s">
        <v>435</v>
      </c>
      <c r="B433">
        <v>33.984911099999998</v>
      </c>
      <c r="C433">
        <v>-118.1555267</v>
      </c>
      <c r="D433" t="str">
        <f>HYPERLINK("https://streetviewpixels-pa.googleapis.com/v1/thumbnail?panoid=s0Kc3WCPPICz0RlzgUuHqw&amp;cb_client=search.gws-prod.gps&amp;w=408&amp;h=240&amp;yaw=216.24944&amp;pitch=0&amp;thumbfov=100", "link")</f>
        <v>link</v>
      </c>
    </row>
    <row r="434" spans="1:4" x14ac:dyDescent="0.45">
      <c r="A434" t="s">
        <v>436</v>
      </c>
      <c r="B434">
        <v>33.940126399999997</v>
      </c>
      <c r="C434">
        <v>-118.1297723</v>
      </c>
      <c r="D434" t="str">
        <f>HYPERLINK("https://streetviewpixels-pa.googleapis.com/v1/thumbnail?panoid=qmt6oQ6Uxri-G2i7gR_Flw&amp;cb_client=search.gws-prod.gps&amp;w=408&amp;h=240&amp;yaw=34.577423&amp;pitch=0&amp;thumbfov=100", "link")</f>
        <v>link</v>
      </c>
    </row>
    <row r="435" spans="1:4" x14ac:dyDescent="0.45">
      <c r="A435" t="s">
        <v>437</v>
      </c>
      <c r="B435">
        <v>33.974383400000001</v>
      </c>
      <c r="C435">
        <v>-118.1258461</v>
      </c>
      <c r="D435" t="s">
        <v>5</v>
      </c>
    </row>
    <row r="436" spans="1:4" x14ac:dyDescent="0.45">
      <c r="A436" t="s">
        <v>438</v>
      </c>
      <c r="B436">
        <v>33.987292600000004</v>
      </c>
      <c r="C436">
        <v>-118.1419539</v>
      </c>
      <c r="D436" t="str">
        <f>HYPERLINK("https://streetviewpixels-pa.googleapis.com/v1/thumbnail?panoid=FL3MRVtxkSy3yBk9CQJj8A&amp;cb_client=search.gws-prod.gps&amp;w=408&amp;h=240&amp;yaw=16.10316&amp;pitch=0&amp;thumbfov=100", "link")</f>
        <v>link</v>
      </c>
    </row>
    <row r="437" spans="1:4" x14ac:dyDescent="0.45">
      <c r="A437" t="s">
        <v>439</v>
      </c>
      <c r="B437">
        <v>33.991046599999997</v>
      </c>
      <c r="C437">
        <v>-118.15693039999999</v>
      </c>
      <c r="D437" t="str">
        <f>HYPERLINK("https://streetviewpixels-pa.googleapis.com/v1/thumbnail?panoid=OMcV6j-vXmcrMChcuOoMKA&amp;cb_client=search.gws-prod.gps&amp;w=408&amp;h=240&amp;yaw=177.09576&amp;pitch=0&amp;thumbfov=100", "link")</f>
        <v>link</v>
      </c>
    </row>
    <row r="438" spans="1:4" x14ac:dyDescent="0.45">
      <c r="A438" t="s">
        <v>440</v>
      </c>
      <c r="B438">
        <v>33.979284499999999</v>
      </c>
      <c r="C438">
        <v>-118.19623489999999</v>
      </c>
      <c r="D438" t="s">
        <v>5</v>
      </c>
    </row>
    <row r="439" spans="1:4" x14ac:dyDescent="0.45">
      <c r="A439" t="s">
        <v>441</v>
      </c>
      <c r="B439">
        <v>33.990453799999997</v>
      </c>
      <c r="C439">
        <v>-118.1434836</v>
      </c>
      <c r="D439" t="str">
        <f>HYPERLINK("https://lh5.googleusercontent.com/p/AF1QipMeTj3zh8SKKxBYdkHIUY3zPo20tWUPlcA5g_OC=w896-h240-k-no", "link")</f>
        <v>link</v>
      </c>
    </row>
    <row r="440" spans="1:4" x14ac:dyDescent="0.45">
      <c r="A440" t="s">
        <v>442</v>
      </c>
      <c r="B440">
        <v>33.913080800000003</v>
      </c>
      <c r="C440">
        <v>-118.1407414</v>
      </c>
      <c r="D440" t="s">
        <v>5</v>
      </c>
    </row>
    <row r="441" spans="1:4" x14ac:dyDescent="0.45">
      <c r="A441" t="s">
        <v>443</v>
      </c>
      <c r="B441">
        <v>33.911600300000003</v>
      </c>
      <c r="C441">
        <v>-118.1418379</v>
      </c>
      <c r="D441" t="str">
        <f>HYPERLINK("https://lh5.googleusercontent.com/p/AF1QipN6gFwQ93oPP-weO9NRhhF7AGcuF96_PymKLV1r=w426-h240-k-no", "link")</f>
        <v>link</v>
      </c>
    </row>
    <row r="442" spans="1:4" x14ac:dyDescent="0.45">
      <c r="A442" t="s">
        <v>444</v>
      </c>
      <c r="B442">
        <v>33.926100900000002</v>
      </c>
      <c r="C442">
        <v>-118.211006</v>
      </c>
      <c r="D442" t="str">
        <f>HYPERLINK("https://streetviewpixels-pa.googleapis.com/v1/thumbnail?panoid=CaKK2XureipihrrUszQEeA&amp;cb_client=search.gws-prod.gps&amp;w=408&amp;h=240&amp;yaw=11.864463&amp;pitch=0&amp;thumbfov=100", "link")</f>
        <v>link</v>
      </c>
    </row>
    <row r="443" spans="1:4" x14ac:dyDescent="0.45">
      <c r="A443" t="s">
        <v>445</v>
      </c>
      <c r="B443">
        <v>34.0065259</v>
      </c>
      <c r="C443">
        <v>-118.12657419999999</v>
      </c>
      <c r="D443" t="s">
        <v>5</v>
      </c>
    </row>
    <row r="444" spans="1:4" x14ac:dyDescent="0.45">
      <c r="A444" t="s">
        <v>446</v>
      </c>
      <c r="B444">
        <v>34.019528600000001</v>
      </c>
      <c r="C444">
        <v>-118.1227265</v>
      </c>
      <c r="D444" t="str">
        <f>HYPERLINK("https://streetviewpixels-pa.googleapis.com/v1/thumbnail?panoid=YJo63PJ-JUV5WPqM8D6d9A&amp;cb_client=search.gws-prod.gps&amp;w=408&amp;h=240&amp;yaw=106.403175&amp;pitch=0&amp;thumbfov=100", "link")</f>
        <v>link</v>
      </c>
    </row>
    <row r="445" spans="1:4" x14ac:dyDescent="0.45">
      <c r="A445" t="s">
        <v>447</v>
      </c>
      <c r="B445">
        <v>34.003045200000003</v>
      </c>
      <c r="C445">
        <v>-118.1497541</v>
      </c>
      <c r="D445" t="s">
        <v>5</v>
      </c>
    </row>
    <row r="446" spans="1:4" x14ac:dyDescent="0.45">
      <c r="A446" t="s">
        <v>448</v>
      </c>
      <c r="B446">
        <v>34.004779800000001</v>
      </c>
      <c r="C446">
        <v>-118.1521171</v>
      </c>
      <c r="D446" t="str">
        <f>HYPERLINK("https://streetviewpixels-pa.googleapis.com/v1/thumbnail?panoid=la32EZG6bjaabUDlyYOzxQ&amp;cb_client=search.gws-prod.gps&amp;w=408&amp;h=240&amp;yaw=245.91322&amp;pitch=0&amp;thumbfov=100", "link")</f>
        <v>link</v>
      </c>
    </row>
    <row r="447" spans="1:4" x14ac:dyDescent="0.45">
      <c r="A447" t="s">
        <v>449</v>
      </c>
      <c r="B447">
        <v>34.0049534999999</v>
      </c>
      <c r="C447">
        <v>-118.15242379999999</v>
      </c>
      <c r="D447" t="str">
        <f>HYPERLINK("https://streetviewpixels-pa.googleapis.com/v1/thumbnail?panoid=la32EZG6bjaabUDlyYOzxQ&amp;cb_client=search.gws-prod.gps&amp;w=408&amp;h=240&amp;yaw=245.91322&amp;pitch=0&amp;thumbfov=100", "link")</f>
        <v>link</v>
      </c>
    </row>
    <row r="448" spans="1:4" x14ac:dyDescent="0.45">
      <c r="A448" t="s">
        <v>450</v>
      </c>
      <c r="B448">
        <v>34.005213599999998</v>
      </c>
      <c r="C448">
        <v>-118.15167390000001</v>
      </c>
      <c r="D448" t="s">
        <v>5</v>
      </c>
    </row>
    <row r="449" spans="1:4" x14ac:dyDescent="0.45">
      <c r="A449" t="s">
        <v>451</v>
      </c>
      <c r="B449">
        <v>34.002772399999998</v>
      </c>
      <c r="C449">
        <v>-118.1411604</v>
      </c>
      <c r="D449" t="s">
        <v>5</v>
      </c>
    </row>
    <row r="450" spans="1:4" x14ac:dyDescent="0.45">
      <c r="A450" t="s">
        <v>452</v>
      </c>
      <c r="B450">
        <v>34.007670900000001</v>
      </c>
      <c r="C450">
        <v>-118.1539008</v>
      </c>
      <c r="D450" t="str">
        <f>HYPERLINK("https://lh5.googleusercontent.com/p/AF1QipPPhe8ra04kr5HgLG1ocepYPP0K8EPLq0E7dP05=w408-h724-k-no", "link")</f>
        <v>link</v>
      </c>
    </row>
    <row r="451" spans="1:4" x14ac:dyDescent="0.45">
      <c r="A451" t="s">
        <v>453</v>
      </c>
      <c r="B451">
        <v>34.004594699999998</v>
      </c>
      <c r="C451">
        <v>-118.1716021</v>
      </c>
      <c r="D451" t="s">
        <v>5</v>
      </c>
    </row>
    <row r="452" spans="1:4" x14ac:dyDescent="0.45">
      <c r="A452" t="s">
        <v>454</v>
      </c>
      <c r="B452">
        <v>34.010606899999999</v>
      </c>
      <c r="C452">
        <v>-118.1555953</v>
      </c>
      <c r="D452" t="str">
        <f>HYPERLINK("https://streetviewpixels-pa.googleapis.com/v1/thumbnail?panoid=udwtAWUQ1Y5cqJJjVykBDA&amp;cb_client=search.gws-prod.gps&amp;w=408&amp;h=240&amp;yaw=356.6024&amp;pitch=0&amp;thumbfov=100", "link")</f>
        <v>link</v>
      </c>
    </row>
    <row r="453" spans="1:4" x14ac:dyDescent="0.45">
      <c r="A453" t="s">
        <v>455</v>
      </c>
      <c r="B453">
        <v>34.0065138</v>
      </c>
      <c r="C453">
        <v>-118.12671469999999</v>
      </c>
      <c r="D453" t="s">
        <v>5</v>
      </c>
    </row>
    <row r="454" spans="1:4" x14ac:dyDescent="0.45">
      <c r="A454" t="s">
        <v>456</v>
      </c>
      <c r="B454">
        <v>33.9855702999999</v>
      </c>
      <c r="C454">
        <v>-118.1002637</v>
      </c>
      <c r="D454" t="str">
        <f>HYPERLINK("https://streetviewpixels-pa.googleapis.com/v1/thumbnail?panoid=xa2motSJPtJPg8UP89rIwg&amp;cb_client=search.gws-prod.gps&amp;w=408&amp;h=240&amp;yaw=129.48396&amp;pitch=0&amp;thumbfov=100", "link")</f>
        <v>link</v>
      </c>
    </row>
    <row r="455" spans="1:4" x14ac:dyDescent="0.45">
      <c r="A455" t="s">
        <v>457</v>
      </c>
      <c r="B455">
        <v>34.022408599999999</v>
      </c>
      <c r="C455">
        <v>-118.1236974</v>
      </c>
      <c r="D455" t="str">
        <f>HYPERLINK("https://streetviewpixels-pa.googleapis.com/v1/thumbnail?panoid=cWD_Acb3P-IEhrJHOHWQxQ&amp;cb_client=search.gws-prod.gps&amp;w=408&amp;h=240&amp;yaw=14.765234&amp;pitch=0&amp;thumbfov=100", "link")</f>
        <v>link</v>
      </c>
    </row>
    <row r="456" spans="1:4" x14ac:dyDescent="0.45">
      <c r="A456" t="s">
        <v>458</v>
      </c>
      <c r="B456">
        <v>34.022088500000002</v>
      </c>
      <c r="C456">
        <v>-118.1054724</v>
      </c>
      <c r="D456" t="str">
        <f>HYPERLINK("https://lh5.googleusercontent.com/p/AF1QipPGjOGAn_z0jNIcHSiPE4eHtCOMHxUFmd1l1Iui=w426-h240-k-no", "link")</f>
        <v>link</v>
      </c>
    </row>
    <row r="457" spans="1:4" x14ac:dyDescent="0.45">
      <c r="A457" t="s">
        <v>459</v>
      </c>
      <c r="B457">
        <v>34.033393500000003</v>
      </c>
      <c r="C457">
        <v>-118.15401850000001</v>
      </c>
      <c r="D457" t="s">
        <v>5</v>
      </c>
    </row>
    <row r="458" spans="1:4" x14ac:dyDescent="0.45">
      <c r="A458" t="s">
        <v>460</v>
      </c>
      <c r="B458">
        <v>34.033899300000002</v>
      </c>
      <c r="C458">
        <v>-118.1525041</v>
      </c>
      <c r="D458" t="str">
        <f>HYPERLINK("https://streetviewpixels-pa.googleapis.com/v1/thumbnail?panoid=SVohVjaCSUJExtbkh3zzUQ&amp;cb_client=search.gws-prod.gps&amp;w=408&amp;h=240&amp;yaw=9.0454445&amp;pitch=0&amp;thumbfov=100", "link")</f>
        <v>link</v>
      </c>
    </row>
    <row r="459" spans="1:4" x14ac:dyDescent="0.45">
      <c r="A459" t="s">
        <v>461</v>
      </c>
      <c r="B459">
        <v>33.904670000000003</v>
      </c>
      <c r="C459">
        <v>-118.110063</v>
      </c>
      <c r="D459" t="str">
        <f>HYPERLINK("https://streetviewpixels-pa.googleapis.com/v1/thumbnail?panoid=u82rKjZTJeLgPWSR-E0zPw&amp;cb_client=search.gws-prod.gps&amp;w=408&amp;h=240&amp;yaw=81.86808&amp;pitch=0&amp;thumbfov=100", "link")</f>
        <v>link</v>
      </c>
    </row>
    <row r="460" spans="1:4" x14ac:dyDescent="0.45">
      <c r="A460" t="s">
        <v>462</v>
      </c>
      <c r="B460">
        <v>33.9009359</v>
      </c>
      <c r="C460">
        <v>-118.11163860000001</v>
      </c>
      <c r="D460" t="str">
        <f>HYPERLINK("https://streetviewpixels-pa.googleapis.com/v1/thumbnail?panoid=GMvoQDybOMVvMd2OFj_5zA&amp;cb_client=search.gws-prod.gps&amp;w=408&amp;h=240&amp;yaw=2.4403977&amp;pitch=0&amp;thumbfov=100", "link")</f>
        <v>link</v>
      </c>
    </row>
    <row r="461" spans="1:4" x14ac:dyDescent="0.45">
      <c r="A461" t="s">
        <v>463</v>
      </c>
      <c r="B461">
        <v>33.911883500000002</v>
      </c>
      <c r="C461">
        <v>-118.1034681</v>
      </c>
      <c r="D461" t="str">
        <f>HYPERLINK("https://lh5.googleusercontent.com/p/AF1QipNtnTBRrDnSrF0zo093U_8wrz5pTrrjwjHlTl3s=w408-h544-k-no", "link")</f>
        <v>link</v>
      </c>
    </row>
    <row r="462" spans="1:4" x14ac:dyDescent="0.45">
      <c r="A462" t="s">
        <v>464</v>
      </c>
      <c r="B462">
        <v>33.893003100000001</v>
      </c>
      <c r="C462">
        <v>-118.11354799999999</v>
      </c>
      <c r="D462" t="s">
        <v>5</v>
      </c>
    </row>
    <row r="463" spans="1:4" x14ac:dyDescent="0.45">
      <c r="A463" t="s">
        <v>465</v>
      </c>
      <c r="B463">
        <v>33.859687200000003</v>
      </c>
      <c r="C463">
        <v>-118.1501334</v>
      </c>
      <c r="D463" t="str">
        <f>HYPERLINK("https://streetviewpixels-pa.googleapis.com/v1/thumbnail?panoid=5F88hUzWw4BpgTA9ZxD8yA&amp;cb_client=search.gws-prod.gps&amp;w=408&amp;h=240&amp;yaw=261.59332&amp;pitch=0&amp;thumbfov=100", "link")</f>
        <v>link</v>
      </c>
    </row>
    <row r="464" spans="1:4" x14ac:dyDescent="0.45">
      <c r="A464" t="s">
        <v>466</v>
      </c>
      <c r="B464">
        <v>33.8569824</v>
      </c>
      <c r="C464">
        <v>-118.1571132</v>
      </c>
      <c r="D464" t="s">
        <v>5</v>
      </c>
    </row>
    <row r="465" spans="1:4" x14ac:dyDescent="0.45">
      <c r="A465" t="s">
        <v>467</v>
      </c>
      <c r="B465">
        <v>33.849222400000002</v>
      </c>
      <c r="C465">
        <v>-118.139968</v>
      </c>
      <c r="D465" t="s">
        <v>5</v>
      </c>
    </row>
    <row r="466" spans="1:4" x14ac:dyDescent="0.45">
      <c r="A466" t="s">
        <v>468</v>
      </c>
      <c r="B466">
        <v>33.849494800000002</v>
      </c>
      <c r="C466">
        <v>-118.13823480000001</v>
      </c>
      <c r="D466" t="s">
        <v>5</v>
      </c>
    </row>
    <row r="467" spans="1:4" x14ac:dyDescent="0.45">
      <c r="A467" t="s">
        <v>469</v>
      </c>
      <c r="B467">
        <v>33.856207499999996</v>
      </c>
      <c r="C467">
        <v>-118.13284059999999</v>
      </c>
      <c r="D467" t="s">
        <v>5</v>
      </c>
    </row>
    <row r="468" spans="1:4" x14ac:dyDescent="0.45">
      <c r="A468" t="s">
        <v>470</v>
      </c>
      <c r="B468">
        <v>34.069047099999999</v>
      </c>
      <c r="C468">
        <v>-118.4042857</v>
      </c>
      <c r="D468" t="str">
        <f>HYPERLINK("https://streetviewpixels-pa.googleapis.com/v1/thumbnail?panoid=rK6cHATRJhMk1bq020ZiNg&amp;cb_client=search.gws-prod.gps&amp;w=408&amp;h=240&amp;yaw=73.54225&amp;pitch=0&amp;thumbfov=100", "link")</f>
        <v>link</v>
      </c>
    </row>
    <row r="469" spans="1:4" x14ac:dyDescent="0.45">
      <c r="A469" t="s">
        <v>471</v>
      </c>
      <c r="B469">
        <v>34.0708524</v>
      </c>
      <c r="C469">
        <v>-118.3998952</v>
      </c>
      <c r="D469" t="str">
        <f>HYPERLINK("https://streetviewpixels-pa.googleapis.com/v1/thumbnail?panoid=ryQSixLj7APasA6vpZj9oA&amp;cb_client=search.gws-prod.gps&amp;w=408&amp;h=240&amp;yaw=252.86063&amp;pitch=0&amp;thumbfov=100", "link")</f>
        <v>link</v>
      </c>
    </row>
    <row r="470" spans="1:4" x14ac:dyDescent="0.45">
      <c r="A470" t="s">
        <v>472</v>
      </c>
      <c r="B470">
        <v>34.072357500000003</v>
      </c>
      <c r="C470">
        <v>-118.40048160000001</v>
      </c>
      <c r="D470" t="str">
        <f>HYPERLINK("https://lh5.googleusercontent.com/p/AF1QipNltWc8mn5txi683k7fDTPHABA4RXPKez8ez6mS=w408-h306-k-no", "link")</f>
        <v>link</v>
      </c>
    </row>
    <row r="471" spans="1:4" x14ac:dyDescent="0.45">
      <c r="A471" t="s">
        <v>473</v>
      </c>
      <c r="B471">
        <v>34.070389300000002</v>
      </c>
      <c r="C471">
        <v>-118.3998857</v>
      </c>
      <c r="D471" t="str">
        <f>HYPERLINK("https://streetviewpixels-pa.googleapis.com/v1/thumbnail?panoid=u0Ox6eW3v74uVCvY97t8Hg&amp;cb_client=search.gws-prod.gps&amp;w=408&amp;h=240&amp;yaw=36.22517&amp;pitch=0&amp;thumbfov=100", "link")</f>
        <v>link</v>
      </c>
    </row>
    <row r="472" spans="1:4" x14ac:dyDescent="0.45">
      <c r="A472" t="s">
        <v>474</v>
      </c>
      <c r="B472">
        <v>34.069698099999997</v>
      </c>
      <c r="C472">
        <v>-118.4001755</v>
      </c>
      <c r="D472" t="s">
        <v>5</v>
      </c>
    </row>
    <row r="473" spans="1:4" x14ac:dyDescent="0.45">
      <c r="A473" t="s">
        <v>475</v>
      </c>
      <c r="B473">
        <v>34.069375399999998</v>
      </c>
      <c r="C473">
        <v>-118.4001737</v>
      </c>
      <c r="D473" t="s">
        <v>5</v>
      </c>
    </row>
    <row r="474" spans="1:4" x14ac:dyDescent="0.45">
      <c r="A474" t="s">
        <v>476</v>
      </c>
      <c r="B474">
        <v>34.069174899999901</v>
      </c>
      <c r="C474">
        <v>-118.4050817</v>
      </c>
      <c r="D474" t="str">
        <f>HYPERLINK("https://lh5.googleusercontent.com/p/AF1QipMLW0xGGZE4ALQjbv-phNZyAM-UP_SCZYDtwYv9=w411-h240-k-no", "link")</f>
        <v>link</v>
      </c>
    </row>
    <row r="475" spans="1:4" x14ac:dyDescent="0.45">
      <c r="A475" t="s">
        <v>477</v>
      </c>
      <c r="B475">
        <v>34.0704128</v>
      </c>
      <c r="C475">
        <v>-118.39932690000001</v>
      </c>
      <c r="D475" t="str">
        <f>HYPERLINK("https://streetviewpixels-pa.googleapis.com/v1/thumbnail?panoid=4Uqo5sWr4Trw2REJw6nqaQ&amp;cb_client=search.gws-prod.gps&amp;w=408&amp;h=240&amp;yaw=334.99274&amp;pitch=0&amp;thumbfov=100", "link")</f>
        <v>link</v>
      </c>
    </row>
    <row r="476" spans="1:4" x14ac:dyDescent="0.45">
      <c r="A476" t="s">
        <v>478</v>
      </c>
      <c r="B476">
        <v>34.070448599999999</v>
      </c>
      <c r="C476">
        <v>-118.3992793</v>
      </c>
      <c r="D476" t="str">
        <f>HYPERLINK("https://streetviewpixels-pa.googleapis.com/v1/thumbnail?panoid=BX-SkuHtiNTM78nQLSgbzQ&amp;cb_client=search.gws-prod.gps&amp;w=408&amp;h=240&amp;yaw=239.52658&amp;pitch=0&amp;thumbfov=100", "link")</f>
        <v>link</v>
      </c>
    </row>
    <row r="477" spans="1:4" x14ac:dyDescent="0.45">
      <c r="A477" t="s">
        <v>479</v>
      </c>
      <c r="B477">
        <v>34.069720199999999</v>
      </c>
      <c r="C477">
        <v>-118.3994232</v>
      </c>
      <c r="D477" t="s">
        <v>5</v>
      </c>
    </row>
    <row r="478" spans="1:4" x14ac:dyDescent="0.45">
      <c r="A478" t="s">
        <v>480</v>
      </c>
      <c r="B478">
        <v>34.073369100000001</v>
      </c>
      <c r="C478">
        <v>-118.4006555</v>
      </c>
      <c r="D478" t="s">
        <v>5</v>
      </c>
    </row>
    <row r="479" spans="1:4" x14ac:dyDescent="0.45">
      <c r="A479" t="s">
        <v>481</v>
      </c>
      <c r="B479">
        <v>34.069759999999903</v>
      </c>
      <c r="C479">
        <v>-118.40608400000001</v>
      </c>
      <c r="D479" t="str">
        <f>HYPERLINK("https://streetviewpixels-pa.googleapis.com/v1/thumbnail?panoid=R3q01ZF_mAVXIAgpPAJHbQ&amp;cb_client=search.gws-prod.gps&amp;w=408&amp;h=240&amp;yaw=309.5544&amp;pitch=0&amp;thumbfov=100", "link")</f>
        <v>link</v>
      </c>
    </row>
    <row r="480" spans="1:4" x14ac:dyDescent="0.45">
      <c r="A480" t="s">
        <v>482</v>
      </c>
      <c r="B480">
        <v>34.069544999999998</v>
      </c>
      <c r="C480">
        <v>-118.39933259999999</v>
      </c>
      <c r="D480" t="s">
        <v>5</v>
      </c>
    </row>
    <row r="481" spans="1:4" x14ac:dyDescent="0.45">
      <c r="A481" t="s">
        <v>483</v>
      </c>
      <c r="B481">
        <v>34.068171499999998</v>
      </c>
      <c r="C481">
        <v>-118.4008561</v>
      </c>
      <c r="D481" t="str">
        <f>HYPERLINK("https://streetviewpixels-pa.googleapis.com/v1/thumbnail?panoid=nmBLCn_47_hUpsp4dykI_A&amp;cb_client=search.gws-prod.gps&amp;w=408&amp;h=240&amp;yaw=235.61275&amp;pitch=0&amp;thumbfov=100", "link")</f>
        <v>link</v>
      </c>
    </row>
    <row r="482" spans="1:4" x14ac:dyDescent="0.45">
      <c r="A482" t="s">
        <v>484</v>
      </c>
      <c r="B482">
        <v>34.067955099999999</v>
      </c>
      <c r="C482">
        <v>-118.4011509</v>
      </c>
      <c r="D482" t="str">
        <f>HYPERLINK("https://lh5.googleusercontent.com/p/AF1QipMDqZatf5pOnCsEEiqZpdYLfsXJC5fofDCHms6D=w426-h240-k-no", "link")</f>
        <v>link</v>
      </c>
    </row>
    <row r="483" spans="1:4" x14ac:dyDescent="0.45">
      <c r="A483" t="s">
        <v>485</v>
      </c>
      <c r="B483">
        <v>34.067821100000003</v>
      </c>
      <c r="C483">
        <v>-118.4038048</v>
      </c>
      <c r="D483" t="str">
        <f>HYPERLINK("https://streetviewpixels-pa.googleapis.com/v1/thumbnail?panoid=R7mLrE_rXv8lbA30FsaubQ&amp;cb_client=search.gws-prod.gps&amp;w=408&amp;h=240&amp;yaw=339.1826&amp;pitch=0&amp;thumbfov=100", "link")</f>
        <v>link</v>
      </c>
    </row>
    <row r="484" spans="1:4" x14ac:dyDescent="0.45">
      <c r="A484" t="s">
        <v>486</v>
      </c>
      <c r="B484">
        <v>34.072998800000001</v>
      </c>
      <c r="C484">
        <v>-118.39971130000001</v>
      </c>
      <c r="D484" t="str">
        <f>HYPERLINK("https://lh5.googleusercontent.com/p/AF1QipM622jLZotryVvoUQX7cvezGosEZeIdfxRlBX1g=w408-h306-k-no", "link")</f>
        <v>link</v>
      </c>
    </row>
    <row r="485" spans="1:4" x14ac:dyDescent="0.45">
      <c r="A485" t="s">
        <v>487</v>
      </c>
      <c r="B485">
        <v>34.069789</v>
      </c>
      <c r="C485">
        <v>-118.39892829999999</v>
      </c>
      <c r="D485" t="str">
        <f>HYPERLINK("https://streetviewpixels-pa.googleapis.com/v1/thumbnail?panoid=BX-SkuHtiNTM78nQLSgbzQ&amp;cb_client=search.gws-prod.gps&amp;w=408&amp;h=240&amp;yaw=167.72018&amp;pitch=0&amp;thumbfov=100", "link")</f>
        <v>link</v>
      </c>
    </row>
    <row r="486" spans="1:4" x14ac:dyDescent="0.45">
      <c r="A486" t="s">
        <v>488</v>
      </c>
      <c r="B486">
        <v>34.067653799999903</v>
      </c>
      <c r="C486">
        <v>-118.4035951</v>
      </c>
      <c r="D486" t="str">
        <f>HYPERLINK("https://streetviewpixels-pa.googleapis.com/v1/thumbnail?panoid=R7mLrE_rXv8lbA30FsaubQ&amp;cb_client=search.gws-prod.gps&amp;w=408&amp;h=240&amp;yaw=339.1826&amp;pitch=0&amp;thumbfov=100", "link")</f>
        <v>link</v>
      </c>
    </row>
    <row r="487" spans="1:4" x14ac:dyDescent="0.45">
      <c r="A487" t="s">
        <v>489</v>
      </c>
      <c r="B487">
        <v>34.068199499999999</v>
      </c>
      <c r="C487">
        <v>-118.4050373</v>
      </c>
      <c r="D487" t="str">
        <f>HYPERLINK("https://streetviewpixels-pa.googleapis.com/v1/thumbnail?panoid=Uge5Vo06rONI8Yh9CNSrBQ&amp;cb_client=search.gws-prod.gps&amp;w=408&amp;h=240&amp;yaw=50.245052&amp;pitch=0&amp;thumbfov=100", "link")</f>
        <v>link</v>
      </c>
    </row>
    <row r="488" spans="1:4" x14ac:dyDescent="0.45">
      <c r="A488" t="s">
        <v>490</v>
      </c>
      <c r="B488">
        <v>34.070880099999997</v>
      </c>
      <c r="C488">
        <v>-118.40267160000001</v>
      </c>
      <c r="D488" t="str">
        <f>HYPERLINK("https://streetviewpixels-pa.googleapis.com/v1/thumbnail?panoid=K-v7rujKvshuFfYCWFeDVg&amp;cb_client=search.gws-prod.gps&amp;w=408&amp;h=240&amp;yaw=42.527473&amp;pitch=0&amp;thumbfov=100", "link")</f>
        <v>link</v>
      </c>
    </row>
    <row r="489" spans="1:4" x14ac:dyDescent="0.45">
      <c r="A489" t="s">
        <v>491</v>
      </c>
      <c r="B489">
        <v>34.071268600000003</v>
      </c>
      <c r="C489">
        <v>-118.4027146</v>
      </c>
      <c r="D489" t="str">
        <f>HYPERLINK("https://streetviewpixels-pa.googleapis.com/v1/thumbnail?panoid=ld1rlKcyf_TX8T-qqytd6g&amp;cb_client=search.gws-prod.gps&amp;w=408&amp;h=240&amp;yaw=33.72201&amp;pitch=0&amp;thumbfov=100", "link")</f>
        <v>link</v>
      </c>
    </row>
    <row r="490" spans="1:4" x14ac:dyDescent="0.45">
      <c r="A490" t="s">
        <v>492</v>
      </c>
      <c r="B490">
        <v>34.071112100000001</v>
      </c>
      <c r="C490">
        <v>-118.40216169999999</v>
      </c>
      <c r="D490" t="str">
        <f>HYPERLINK("https://streetviewpixels-pa.googleapis.com/v1/thumbnail?panoid=K-v7rujKvshuFfYCWFeDVg&amp;cb_client=search.gws-prod.gps&amp;w=408&amp;h=240&amp;yaw=42.527473&amp;pitch=0&amp;thumbfov=100", "link")</f>
        <v>link</v>
      </c>
    </row>
    <row r="491" spans="1:4" x14ac:dyDescent="0.45">
      <c r="A491" t="s">
        <v>493</v>
      </c>
      <c r="B491">
        <v>34.071304099999999</v>
      </c>
      <c r="C491">
        <v>-118.4017631</v>
      </c>
      <c r="D491" t="str">
        <f>HYPERLINK("https://streetviewpixels-pa.googleapis.com/v1/thumbnail?panoid=K-v7rujKvshuFfYCWFeDVg&amp;cb_client=search.gws-prod.gps&amp;w=408&amp;h=240&amp;yaw=42.527473&amp;pitch=0&amp;thumbfov=100", "link")</f>
        <v>link</v>
      </c>
    </row>
    <row r="492" spans="1:4" x14ac:dyDescent="0.45">
      <c r="A492" t="s">
        <v>494</v>
      </c>
      <c r="B492">
        <v>34.0702493</v>
      </c>
      <c r="C492">
        <v>-118.40355940000001</v>
      </c>
      <c r="D492" t="str">
        <f>HYPERLINK("https://streetviewpixels-pa.googleapis.com/v1/thumbnail?panoid=IsCc1N-1cKEFQSzMr_fU-g&amp;cb_client=search.gws-prod.gps&amp;w=408&amp;h=240&amp;yaw=59.197742&amp;pitch=0&amp;thumbfov=100", "link")</f>
        <v>link</v>
      </c>
    </row>
    <row r="493" spans="1:4" x14ac:dyDescent="0.45">
      <c r="A493" t="s">
        <v>495</v>
      </c>
      <c r="B493">
        <v>34.069847099999997</v>
      </c>
      <c r="C493">
        <v>-118.4025946</v>
      </c>
      <c r="D493" t="str">
        <f>HYPERLINK("https://lh5.googleusercontent.com/p/AF1QipMpFaPH_wzlHAfq-8uh8Y7cFD82xd9OoxqLEedL=w408-h296-k-no", "link")</f>
        <v>link</v>
      </c>
    </row>
    <row r="494" spans="1:4" x14ac:dyDescent="0.45">
      <c r="A494" t="s">
        <v>496</v>
      </c>
      <c r="B494">
        <v>34.069871199999902</v>
      </c>
      <c r="C494">
        <v>-118.4014686</v>
      </c>
      <c r="D494" t="str">
        <f>HYPERLINK("https://streetviewpixels-pa.googleapis.com/v1/thumbnail?panoid=YRzm1-7NXbsbHdvPHWbVJg&amp;cb_client=search.gws-prod.gps&amp;w=408&amp;h=240&amp;yaw=65.63923&amp;pitch=0&amp;thumbfov=100", "link")</f>
        <v>link</v>
      </c>
    </row>
    <row r="495" spans="1:4" x14ac:dyDescent="0.45">
      <c r="A495" t="s">
        <v>497</v>
      </c>
      <c r="B495">
        <v>34.0696441999999</v>
      </c>
      <c r="C495">
        <v>-118.4036799</v>
      </c>
      <c r="D495" t="s">
        <v>5</v>
      </c>
    </row>
    <row r="496" spans="1:4" x14ac:dyDescent="0.45">
      <c r="A496" t="s">
        <v>498</v>
      </c>
      <c r="B496">
        <v>34.070253100000002</v>
      </c>
      <c r="C496">
        <v>-118.4009994</v>
      </c>
      <c r="D496" t="str">
        <f>HYPERLINK("https://streetviewpixels-pa.googleapis.com/v1/thumbnail?panoid=4hITzccIiuP8qc645cLGpA&amp;cb_client=search.gws-prod.gps&amp;w=408&amp;h=240&amp;yaw=143.27222&amp;pitch=0&amp;thumbfov=100", "link")</f>
        <v>link</v>
      </c>
    </row>
    <row r="497" spans="1:4" x14ac:dyDescent="0.45">
      <c r="A497" t="s">
        <v>499</v>
      </c>
      <c r="B497">
        <v>34.071149699999999</v>
      </c>
      <c r="C497">
        <v>-118.4007369</v>
      </c>
      <c r="D497" t="str">
        <f>HYPERLINK("https://streetviewpixels-pa.googleapis.com/v1/thumbnail?panoid=ckFtEU9bOEGukYs1fDCAvg&amp;cb_client=search.gws-prod.gps&amp;w=408&amp;h=240&amp;yaw=227.6646&amp;pitch=0&amp;thumbfov=100", "link")</f>
        <v>link</v>
      </c>
    </row>
    <row r="498" spans="1:4" x14ac:dyDescent="0.45">
      <c r="A498" t="s">
        <v>500</v>
      </c>
      <c r="B498">
        <v>34.072406000000001</v>
      </c>
      <c r="C498">
        <v>-118.40168130000001</v>
      </c>
      <c r="D498" t="str">
        <f>HYPERLINK("https://streetviewpixels-pa.googleapis.com/v1/thumbnail?panoid=5KqjyyC3JCakTpmoqo9tSA&amp;cb_client=search.gws-prod.gps&amp;w=408&amp;h=240&amp;yaw=142.04097&amp;pitch=0&amp;thumbfov=100", "link")</f>
        <v>link</v>
      </c>
    </row>
    <row r="499" spans="1:4" x14ac:dyDescent="0.45">
      <c r="A499" t="s">
        <v>501</v>
      </c>
      <c r="B499">
        <v>34.071595299999998</v>
      </c>
      <c r="C499">
        <v>-118.4005568</v>
      </c>
      <c r="D499" t="str">
        <f>HYPERLINK("https://streetviewpixels-pa.googleapis.com/v1/thumbnail?panoid=53o911BRaRlWz7ulrs-MuQ&amp;cb_client=search.gws-prod.gps&amp;w=408&amp;h=240&amp;yaw=218.88335&amp;pitch=0&amp;thumbfov=100", "link")</f>
        <v>link</v>
      </c>
    </row>
    <row r="500" spans="1:4" x14ac:dyDescent="0.45">
      <c r="A500" t="s">
        <v>502</v>
      </c>
      <c r="B500">
        <v>34.071591699999999</v>
      </c>
      <c r="C500">
        <v>-118.4003747</v>
      </c>
      <c r="D500" t="str">
        <f>HYPERLINK("https://streetviewpixels-pa.googleapis.com/v1/thumbnail?panoid=53o911BRaRlWz7ulrs-MuQ&amp;cb_client=search.gws-prod.gps&amp;w=408&amp;h=240&amp;yaw=218.88335&amp;pitch=0&amp;thumbfov=100", "link")</f>
        <v>link</v>
      </c>
    </row>
    <row r="501" spans="1:4" x14ac:dyDescent="0.45">
      <c r="A501" t="s">
        <v>503</v>
      </c>
      <c r="B501">
        <v>34.070461999999999</v>
      </c>
      <c r="C501">
        <v>-118.405097</v>
      </c>
      <c r="D501" t="str">
        <f>HYPERLINK("https://streetviewpixels-pa.googleapis.com/v1/thumbnail?panoid=qtgW6KG0S22tdTMvomQ-6A&amp;cb_client=search.gws-prod.gps&amp;w=408&amp;h=240&amp;yaw=164.30275&amp;pitch=0&amp;thumbfov=100", "link")</f>
        <v>link</v>
      </c>
    </row>
    <row r="502" spans="1:4" x14ac:dyDescent="0.45">
      <c r="A502" t="s">
        <v>504</v>
      </c>
      <c r="B502">
        <v>34.069878000000003</v>
      </c>
      <c r="C502">
        <v>-118.40483879999999</v>
      </c>
      <c r="D502" t="str">
        <f>HYPERLINK("https://streetviewpixels-pa.googleapis.com/v1/thumbnail?panoid=-R8oNe49CO9PW-RqnN3y_Q&amp;cb_client=search.gws-prod.gps&amp;w=408&amp;h=240&amp;yaw=162.90125&amp;pitch=0&amp;thumbfov=100", "link")</f>
        <v>link</v>
      </c>
    </row>
    <row r="503" spans="1:4" x14ac:dyDescent="0.45">
      <c r="A503" t="s">
        <v>505</v>
      </c>
      <c r="B503">
        <v>34.06888</v>
      </c>
      <c r="C503">
        <v>-118.403271</v>
      </c>
      <c r="D503" t="str">
        <f>HYPERLINK("https://lh5.googleusercontent.com/p/AF1QipORSn5pLS3oAlCtB8sqc8peMHwbBuauhv0QErNy=w408-h306-k-no", "link")</f>
        <v>link</v>
      </c>
    </row>
    <row r="504" spans="1:4" x14ac:dyDescent="0.45">
      <c r="A504" t="s">
        <v>506</v>
      </c>
      <c r="B504">
        <v>34.069012100000002</v>
      </c>
      <c r="C504">
        <v>-118.40151640000001</v>
      </c>
      <c r="D504" t="str">
        <f>HYPERLINK("https://streetviewpixels-pa.googleapis.com/v1/thumbnail?panoid=dwxaTbywK9_U7KKNiyP-kw&amp;cb_client=search.gws-prod.gps&amp;w=408&amp;h=240&amp;yaw=235.59741&amp;pitch=0&amp;thumbfov=100", "link")</f>
        <v>link</v>
      </c>
    </row>
    <row r="505" spans="1:4" x14ac:dyDescent="0.45">
      <c r="A505" t="s">
        <v>507</v>
      </c>
      <c r="B505">
        <v>34.069089200000001</v>
      </c>
      <c r="C505">
        <v>-118.4013001</v>
      </c>
      <c r="D505" t="str">
        <f>HYPERLINK("https://lh5.googleusercontent.com/p/AF1QipMUk_PD1woTBnBtHa5ZgXwrqfAB8Nw7D7GZ8cCm=w408-h272-k-no", "link")</f>
        <v>link</v>
      </c>
    </row>
    <row r="506" spans="1:4" x14ac:dyDescent="0.45">
      <c r="A506" t="s">
        <v>508</v>
      </c>
      <c r="B506">
        <v>34.069353599999999</v>
      </c>
      <c r="C506">
        <v>-118.4046203</v>
      </c>
      <c r="D506" t="str">
        <f>HYPERLINK("https://streetviewpixels-pa.googleapis.com/v1/thumbnail?panoid=o7YSraMRK2Goe_5JsZsAsQ&amp;cb_client=search.gws-prod.gps&amp;w=408&amp;h=240&amp;yaw=63.130676&amp;pitch=0&amp;thumbfov=100", "link")</f>
        <v>link</v>
      </c>
    </row>
    <row r="507" spans="1:4" x14ac:dyDescent="0.45">
      <c r="A507" t="s">
        <v>509</v>
      </c>
      <c r="B507">
        <v>34.068055100000002</v>
      </c>
      <c r="C507">
        <v>-118.4056566</v>
      </c>
      <c r="D507" t="str">
        <f>HYPERLINK("https://streetviewpixels-pa.googleapis.com/v1/thumbnail?panoid=Uge5Vo06rONI8Yh9CNSrBQ&amp;cb_client=search.gws-prod.gps&amp;w=408&amp;h=240&amp;yaw=237.9531&amp;pitch=0&amp;thumbfov=100", "link")</f>
        <v>link</v>
      </c>
    </row>
    <row r="508" spans="1:4" x14ac:dyDescent="0.45">
      <c r="A508" t="s">
        <v>510</v>
      </c>
      <c r="B508">
        <v>34.068840000000002</v>
      </c>
      <c r="C508">
        <v>-118.406159</v>
      </c>
      <c r="D508" t="str">
        <f>HYPERLINK("https://lh5.googleusercontent.com/p/AF1QipMQf3bGcl1JLWBN2gsQr3n5m2CmfCFUEDd7ZB-0=w408-h272-k-no", "link")</f>
        <v>link</v>
      </c>
    </row>
    <row r="509" spans="1:4" x14ac:dyDescent="0.45">
      <c r="A509" t="s">
        <v>511</v>
      </c>
      <c r="B509">
        <v>34.067923</v>
      </c>
      <c r="C509">
        <v>-118.4004566</v>
      </c>
      <c r="D509" t="str">
        <f>HYPERLINK("https://streetviewpixels-pa.googleapis.com/v1/thumbnail?panoid=VcIy84Ty6Nlta8m1O63_GQ&amp;cb_client=search.gws-prod.gps&amp;w=408&amp;h=240&amp;yaw=232.86525&amp;pitch=0&amp;thumbfov=100", "link")</f>
        <v>link</v>
      </c>
    </row>
    <row r="510" spans="1:4" x14ac:dyDescent="0.45">
      <c r="A510" t="s">
        <v>512</v>
      </c>
      <c r="B510">
        <v>34.066481799999998</v>
      </c>
      <c r="C510">
        <v>-118.4047387</v>
      </c>
      <c r="D510" t="str">
        <f>HYPERLINK("https://streetviewpixels-pa.googleapis.com/v1/thumbnail?panoid=qIf2hA8IT9khD-9IbLW86w&amp;cb_client=search.gws-prod.gps&amp;w=408&amp;h=240&amp;yaw=15.286598&amp;pitch=0&amp;thumbfov=100", "link")</f>
        <v>link</v>
      </c>
    </row>
    <row r="511" spans="1:4" x14ac:dyDescent="0.45">
      <c r="A511" t="s">
        <v>513</v>
      </c>
      <c r="B511">
        <v>34.066484799999998</v>
      </c>
      <c r="C511">
        <v>-118.4016611</v>
      </c>
      <c r="D511" t="str">
        <f>HYPERLINK("https://streetviewpixels-pa.googleapis.com/v1/thumbnail?panoid=6wzP-KKQ7MwEzLCei2XrGA&amp;cb_client=search.gws-prod.gps&amp;w=408&amp;h=240&amp;yaw=169.73747&amp;pitch=0&amp;thumbfov=100", "link")</f>
        <v>link</v>
      </c>
    </row>
    <row r="512" spans="1:4" x14ac:dyDescent="0.45">
      <c r="A512" t="s">
        <v>514</v>
      </c>
      <c r="B512">
        <v>34.067691000000003</v>
      </c>
      <c r="C512">
        <v>-118.40634420000001</v>
      </c>
      <c r="D512" t="str">
        <f>HYPERLINK("https://streetviewpixels-pa.googleapis.com/v1/thumbnail?panoid=gaAM7A8Ru_pz5DkSCP2zEw&amp;cb_client=search.gws-prod.gps&amp;w=408&amp;h=240&amp;yaw=57.74668&amp;pitch=0&amp;thumbfov=100", "link")</f>
        <v>link</v>
      </c>
    </row>
    <row r="513" spans="1:4" x14ac:dyDescent="0.45">
      <c r="A513" t="s">
        <v>515</v>
      </c>
      <c r="B513">
        <v>34.068367499999901</v>
      </c>
      <c r="C513">
        <v>-118.4068723</v>
      </c>
      <c r="D513" t="str">
        <f>HYPERLINK("https://lh5.googleusercontent.com/p/AF1QipNU26rplXhDYiEbF0iuFfMs3-EqhDRoyRspm6ya=w408-h347-k-no", "link")</f>
        <v>link</v>
      </c>
    </row>
    <row r="514" spans="1:4" x14ac:dyDescent="0.45">
      <c r="A514" t="s">
        <v>516</v>
      </c>
      <c r="B514">
        <v>34.0675095</v>
      </c>
      <c r="C514">
        <v>-118.3999843</v>
      </c>
      <c r="D514" t="str">
        <f>HYPERLINK("https://streetviewpixels-pa.googleapis.com/v1/thumbnail?panoid=vC6ICfZGy0TX1pVu6abLGg&amp;cb_client=search.gws-prod.gps&amp;w=408&amp;h=240&amp;yaw=6.3429737&amp;pitch=0&amp;thumbfov=100", "link")</f>
        <v>link</v>
      </c>
    </row>
    <row r="515" spans="1:4" x14ac:dyDescent="0.45">
      <c r="A515" t="s">
        <v>517</v>
      </c>
      <c r="B515">
        <v>34.067394</v>
      </c>
      <c r="C515">
        <v>-118.4065756</v>
      </c>
      <c r="D515" t="str">
        <f>HYPERLINK("https://streetviewpixels-pa.googleapis.com/v1/thumbnail?panoid=7nG7XluO3zyDW-f2p2pNEw&amp;cb_client=search.gws-prod.gps&amp;w=408&amp;h=240&amp;yaw=274.04895&amp;pitch=0&amp;thumbfov=100", "link")</f>
        <v>link</v>
      </c>
    </row>
    <row r="516" spans="1:4" x14ac:dyDescent="0.45">
      <c r="A516" t="s">
        <v>518</v>
      </c>
      <c r="B516">
        <v>34.068100399999999</v>
      </c>
      <c r="C516">
        <v>-118.3996211</v>
      </c>
      <c r="D516" t="str">
        <f>HYPERLINK("https://streetviewpixels-pa.googleapis.com/v1/thumbnail?panoid=pA9uuzqmYjDuLvp27mgOog&amp;cb_client=search.gws-prod.gps&amp;w=408&amp;h=240&amp;yaw=4.1050873&amp;pitch=0&amp;thumbfov=100", "link")</f>
        <v>link</v>
      </c>
    </row>
    <row r="517" spans="1:4" x14ac:dyDescent="0.45">
      <c r="A517" t="s">
        <v>519</v>
      </c>
      <c r="B517">
        <v>34.067529</v>
      </c>
      <c r="C517">
        <v>-118.40244300000001</v>
      </c>
      <c r="D517" t="str">
        <f>HYPERLINK("https://streetviewpixels-pa.googleapis.com/v1/thumbnail?panoid=EIXdhIqJ9MsSRyoCS_O8aw&amp;cb_client=search.gws-prod.gps&amp;w=408&amp;h=240&amp;yaw=62.23119&amp;pitch=0&amp;thumbfov=100", "link")</f>
        <v>link</v>
      </c>
    </row>
    <row r="518" spans="1:4" x14ac:dyDescent="0.45">
      <c r="A518" t="s">
        <v>520</v>
      </c>
      <c r="B518">
        <v>34.067426900000001</v>
      </c>
      <c r="C518">
        <v>-118.4039418</v>
      </c>
      <c r="D518" t="str">
        <f>HYPERLINK("https://streetviewpixels-pa.googleapis.com/v1/thumbnail?panoid=-OznbB5H7dvi9lHRsH5R-g&amp;cb_client=search.gws-prod.gps&amp;w=408&amp;h=240&amp;yaw=71.895996&amp;pitch=0&amp;thumbfov=100", "link")</f>
        <v>link</v>
      </c>
    </row>
    <row r="519" spans="1:4" x14ac:dyDescent="0.45">
      <c r="A519" t="s">
        <v>521</v>
      </c>
      <c r="B519">
        <v>34.068040000000003</v>
      </c>
      <c r="C519">
        <v>-118.4054204</v>
      </c>
      <c r="D519" t="str">
        <f>HYPERLINK("https://streetviewpixels-pa.googleapis.com/v1/thumbnail?panoid=R0vM6q-uIwbmyErK2_aMlg&amp;cb_client=search.gws-prod.gps&amp;w=408&amp;h=240&amp;yaw=232.3857&amp;pitch=0&amp;thumbfov=100", "link")</f>
        <v>link</v>
      </c>
    </row>
    <row r="520" spans="1:4" x14ac:dyDescent="0.45">
      <c r="A520" t="s">
        <v>522</v>
      </c>
      <c r="B520">
        <v>34.0667902</v>
      </c>
      <c r="C520">
        <v>-118.3962714</v>
      </c>
      <c r="D520" t="str">
        <f>HYPERLINK("https://streetviewpixels-pa.googleapis.com/v1/thumbnail?panoid=IPD3Qn1U0eHK1BCD6YpvfA&amp;cb_client=search.gws-prod.gps&amp;w=408&amp;h=240&amp;yaw=192.05525&amp;pitch=0&amp;thumbfov=100", "link")</f>
        <v>link</v>
      </c>
    </row>
    <row r="521" spans="1:4" x14ac:dyDescent="0.45">
      <c r="A521" t="s">
        <v>523</v>
      </c>
      <c r="B521">
        <v>34.066702900000003</v>
      </c>
      <c r="C521">
        <v>-118.3955593</v>
      </c>
      <c r="D521" t="str">
        <f>HYPERLINK("https://lh5.googleusercontent.com/p/AF1QipNBXRrTrqgBNrEzjmbIsZm_xw8i6DbkqvNCwxud=w426-h240-k-no", "link")</f>
        <v>link</v>
      </c>
    </row>
    <row r="522" spans="1:4" x14ac:dyDescent="0.45">
      <c r="A522" t="s">
        <v>524</v>
      </c>
      <c r="B522">
        <v>34.067908799999998</v>
      </c>
      <c r="C522">
        <v>-118.3978596</v>
      </c>
      <c r="D522" t="str">
        <f>HYPERLINK("https://streetviewpixels-pa.googleapis.com/v1/thumbnail?panoid=BMulRNyaYCilM-W2_x9oFg&amp;cb_client=search.gws-prod.gps&amp;w=408&amp;h=240&amp;yaw=176.97911&amp;pitch=0&amp;thumbfov=100", "link")</f>
        <v>link</v>
      </c>
    </row>
    <row r="523" spans="1:4" x14ac:dyDescent="0.45">
      <c r="A523" t="s">
        <v>525</v>
      </c>
      <c r="B523">
        <v>34.060716300000003</v>
      </c>
      <c r="C523">
        <v>-118.3988643</v>
      </c>
      <c r="D523" t="str">
        <f>HYPERLINK("https://streetviewpixels-pa.googleapis.com/v1/thumbnail?panoid=IdVSxEg7OJDPZP7UTfIX6Q&amp;cb_client=search.gws-prod.gps&amp;w=408&amp;h=240&amp;yaw=97.124016&amp;pitch=0&amp;thumbfov=100", "link")</f>
        <v>link</v>
      </c>
    </row>
    <row r="524" spans="1:4" x14ac:dyDescent="0.45">
      <c r="A524" t="s">
        <v>526</v>
      </c>
      <c r="B524">
        <v>34.067876599999998</v>
      </c>
      <c r="C524">
        <v>-118.39758310000001</v>
      </c>
      <c r="D524" t="str">
        <f>HYPERLINK("https://streetviewpixels-pa.googleapis.com/v1/thumbnail?panoid=YdqFDFMmbyWm3akrvrrWQQ&amp;cb_client=search.gws-prod.gps&amp;w=408&amp;h=240&amp;yaw=239.82953&amp;pitch=0&amp;thumbfov=100", "link")</f>
        <v>link</v>
      </c>
    </row>
    <row r="525" spans="1:4" x14ac:dyDescent="0.45">
      <c r="A525" t="s">
        <v>527</v>
      </c>
      <c r="B525">
        <v>34.067503199999997</v>
      </c>
      <c r="C525">
        <v>-118.39630219999999</v>
      </c>
      <c r="D525" t="str">
        <f>HYPERLINK("https://streetviewpixels-pa.googleapis.com/v1/thumbnail?panoid=X-VSyKkiPLApKhrnkslFXg&amp;cb_client=search.gws-prod.gps&amp;w=408&amp;h=240&amp;yaw=357.21613&amp;pitch=0&amp;thumbfov=100", "link")</f>
        <v>link</v>
      </c>
    </row>
    <row r="526" spans="1:4" x14ac:dyDescent="0.45">
      <c r="A526" t="s">
        <v>528</v>
      </c>
      <c r="B526">
        <v>34.0677337999999</v>
      </c>
      <c r="C526">
        <v>-118.39583450000001</v>
      </c>
      <c r="D526" t="str">
        <f>HYPERLINK("https://streetviewpixels-pa.googleapis.com/v1/thumbnail?panoid=GySYv1aAY34abU7lejuaIQ&amp;cb_client=search.gws-prod.gps&amp;w=408&amp;h=240&amp;yaw=5.736013&amp;pitch=0&amp;thumbfov=100", "link")</f>
        <v>link</v>
      </c>
    </row>
    <row r="527" spans="1:4" x14ac:dyDescent="0.45">
      <c r="A527" t="s">
        <v>529</v>
      </c>
      <c r="B527">
        <v>34.067578999999903</v>
      </c>
      <c r="C527">
        <v>-118.3955182</v>
      </c>
      <c r="D527" t="str">
        <f>HYPERLINK("https://streetviewpixels-pa.googleapis.com/v1/thumbnail?panoid=GySYv1aAY34abU7lejuaIQ&amp;cb_client=search.gws-prod.gps&amp;w=408&amp;h=240&amp;yaw=5.736013&amp;pitch=0&amp;thumbfov=100", "link")</f>
        <v>link</v>
      </c>
    </row>
    <row r="528" spans="1:4" x14ac:dyDescent="0.45">
      <c r="A528" t="s">
        <v>530</v>
      </c>
      <c r="B528">
        <v>34.0667987</v>
      </c>
      <c r="C528">
        <v>-118.3944936</v>
      </c>
      <c r="D528" t="str">
        <f>HYPERLINK("https://streetviewpixels-pa.googleapis.com/v1/thumbnail?panoid=aEo0RQMY6XuVmAOCRcBM-Q&amp;cb_client=search.gws-prod.gps&amp;w=408&amp;h=240&amp;yaw=57.415375&amp;pitch=0&amp;thumbfov=100", "link")</f>
        <v>link</v>
      </c>
    </row>
    <row r="529" spans="1:4" x14ac:dyDescent="0.45">
      <c r="A529" t="s">
        <v>531</v>
      </c>
      <c r="B529">
        <v>34.067392699999999</v>
      </c>
      <c r="C529">
        <v>-118.39467620000001</v>
      </c>
      <c r="D529" t="str">
        <f>HYPERLINK("https://streetviewpixels-pa.googleapis.com/v1/thumbnail?panoid=MLIliZIPgCc9Sc-F-Ybu1g&amp;cb_client=search.gws-prod.gps&amp;w=408&amp;h=240&amp;yaw=214.87479&amp;pitch=0&amp;thumbfov=100", "link")</f>
        <v>link</v>
      </c>
    </row>
    <row r="530" spans="1:4" x14ac:dyDescent="0.45">
      <c r="A530" t="s">
        <v>532</v>
      </c>
      <c r="B530">
        <v>34.066688599999999</v>
      </c>
      <c r="C530">
        <v>-118.3940546</v>
      </c>
      <c r="D530" t="str">
        <f>HYPERLINK("https://streetviewpixels-pa.googleapis.com/v1/thumbnail?panoid=NJbPB4viCyg-u7dj-wyZcQ&amp;cb_client=search.gws-prod.gps&amp;w=408&amp;h=240&amp;yaw=210.87401&amp;pitch=0&amp;thumbfov=100", "link")</f>
        <v>link</v>
      </c>
    </row>
    <row r="531" spans="1:4" x14ac:dyDescent="0.45">
      <c r="A531" t="s">
        <v>533</v>
      </c>
      <c r="B531">
        <v>34.0689286</v>
      </c>
      <c r="C531">
        <v>-118.3977534</v>
      </c>
      <c r="D531" t="str">
        <f>HYPERLINK("https://lh5.googleusercontent.com/p/AF1QipOQTcQklLM3hXNINQexFFF0OX5h0v_3fO5KHs0L=w408-h306-k-no", "link")</f>
        <v>link</v>
      </c>
    </row>
    <row r="532" spans="1:4" x14ac:dyDescent="0.45">
      <c r="A532" t="s">
        <v>534</v>
      </c>
      <c r="B532">
        <v>34.067533099999899</v>
      </c>
      <c r="C532">
        <v>-118.3946199</v>
      </c>
      <c r="D532" t="str">
        <f>HYPERLINK("https://streetviewpixels-pa.googleapis.com/v1/thumbnail?panoid=MLIliZIPgCc9Sc-F-Ybu1g&amp;cb_client=search.gws-prod.gps&amp;w=408&amp;h=240&amp;yaw=214.87479&amp;pitch=0&amp;thumbfov=100", "link")</f>
        <v>link</v>
      </c>
    </row>
    <row r="533" spans="1:4" x14ac:dyDescent="0.45">
      <c r="A533" t="s">
        <v>535</v>
      </c>
      <c r="B533">
        <v>34.064375400000003</v>
      </c>
      <c r="C533">
        <v>-118.3989122</v>
      </c>
      <c r="D533" t="str">
        <f>HYPERLINK("https://streetviewpixels-pa.googleapis.com/v1/thumbnail?panoid=x0nBXio_GdyB3_g_q60nAw&amp;cb_client=search.gws-prod.gps&amp;w=408&amp;h=240&amp;yaw=110.722824&amp;pitch=0&amp;thumbfov=100", "link")</f>
        <v>link</v>
      </c>
    </row>
    <row r="534" spans="1:4" x14ac:dyDescent="0.45">
      <c r="A534" t="s">
        <v>536</v>
      </c>
      <c r="B534">
        <v>34.065089100000002</v>
      </c>
      <c r="C534">
        <v>-118.3989026</v>
      </c>
      <c r="D534" t="str">
        <f>HYPERLINK("https://streetviewpixels-pa.googleapis.com/v1/thumbnail?panoid=2qAy1Sb5d_2kjUiAjmgw1A&amp;cb_client=search.gws-prod.gps&amp;w=408&amp;h=240&amp;yaw=2.3956916&amp;pitch=0&amp;thumbfov=100", "link")</f>
        <v>link</v>
      </c>
    </row>
    <row r="535" spans="1:4" x14ac:dyDescent="0.45">
      <c r="A535" t="s">
        <v>537</v>
      </c>
      <c r="B535">
        <v>34.065168</v>
      </c>
      <c r="C535">
        <v>-118.39882</v>
      </c>
      <c r="D535" t="str">
        <f>HYPERLINK("https://streetviewpixels-pa.googleapis.com/v1/thumbnail?panoid=2qAy1Sb5d_2kjUiAjmgw1A&amp;cb_client=search.gws-prod.gps&amp;w=408&amp;h=240&amp;yaw=13.793331&amp;pitch=0&amp;thumbfov=100", "link")</f>
        <v>link</v>
      </c>
    </row>
    <row r="536" spans="1:4" x14ac:dyDescent="0.45">
      <c r="A536" t="s">
        <v>538</v>
      </c>
      <c r="B536">
        <v>34.065100299999997</v>
      </c>
      <c r="C536">
        <v>-118.399472</v>
      </c>
      <c r="D536" t="str">
        <f>HYPERLINK("https://streetviewpixels-pa.googleapis.com/v1/thumbnail?panoid=E5dPd859W9jByRdKRcH_yQ&amp;cb_client=search.gws-prod.gps&amp;w=408&amp;h=240&amp;yaw=10.197886&amp;pitch=0&amp;thumbfov=100", "link")</f>
        <v>link</v>
      </c>
    </row>
    <row r="537" spans="1:4" x14ac:dyDescent="0.45">
      <c r="A537" t="s">
        <v>539</v>
      </c>
      <c r="B537">
        <v>34.065543099999999</v>
      </c>
      <c r="C537">
        <v>-118.39869</v>
      </c>
      <c r="D537" t="str">
        <f>HYPERLINK("https://streetviewpixels-pa.googleapis.com/v1/thumbnail?panoid=ztz_wW-t5TFramU8fnTU4A&amp;cb_client=search.gws-prod.gps&amp;w=408&amp;h=240&amp;yaw=87.49314&amp;pitch=0&amp;thumbfov=100", "link")</f>
        <v>link</v>
      </c>
    </row>
    <row r="538" spans="1:4" x14ac:dyDescent="0.45">
      <c r="A538" t="s">
        <v>540</v>
      </c>
      <c r="B538">
        <v>34.062995700000002</v>
      </c>
      <c r="C538">
        <v>-118.39870670000001</v>
      </c>
      <c r="D538" t="str">
        <f>HYPERLINK("https://streetviewpixels-pa.googleapis.com/v1/thumbnail?panoid=azceEnxShsxol8pvOxbdyA&amp;cb_client=search.gws-prod.gps&amp;w=408&amp;h=240&amp;yaw=260.895&amp;pitch=0&amp;thumbfov=100", "link")</f>
        <v>link</v>
      </c>
    </row>
    <row r="539" spans="1:4" x14ac:dyDescent="0.45">
      <c r="A539" t="s">
        <v>541</v>
      </c>
      <c r="B539">
        <v>34.065679299999999</v>
      </c>
      <c r="C539">
        <v>-118.3994965</v>
      </c>
      <c r="D539" t="str">
        <f>HYPERLINK("https://streetviewpixels-pa.googleapis.com/v1/thumbnail?panoid=v6WUMtaDQFjrK1XfFPCYfQ&amp;cb_client=search.gws-prod.gps&amp;w=408&amp;h=240&amp;yaw=45.048096&amp;pitch=0&amp;thumbfov=100", "link")</f>
        <v>link</v>
      </c>
    </row>
    <row r="540" spans="1:4" x14ac:dyDescent="0.45">
      <c r="A540" t="s">
        <v>542</v>
      </c>
      <c r="B540">
        <v>34.062435000000001</v>
      </c>
      <c r="C540">
        <v>-118.398723</v>
      </c>
      <c r="D540" t="str">
        <f>HYPERLINK("https://streetviewpixels-pa.googleapis.com/v1/thumbnail?panoid=lcVMz7l3tz8Um8BxuSaBPg&amp;cb_client=search.gws-prod.gps&amp;w=408&amp;h=240&amp;yaw=101.278305&amp;pitch=0&amp;thumbfov=100", "link")</f>
        <v>link</v>
      </c>
    </row>
    <row r="541" spans="1:4" x14ac:dyDescent="0.45">
      <c r="A541" t="s">
        <v>543</v>
      </c>
      <c r="B541">
        <v>34.0654641</v>
      </c>
      <c r="C541">
        <v>-118.4009294</v>
      </c>
      <c r="D541" t="str">
        <f>HYPERLINK("https://streetviewpixels-pa.googleapis.com/v1/thumbnail?panoid=cagvIFlPstFkVqWKTQf_Nw&amp;cb_client=search.gws-prod.gps&amp;w=408&amp;h=240&amp;yaw=107.34348&amp;pitch=0&amp;thumbfov=100", "link")</f>
        <v>link</v>
      </c>
    </row>
    <row r="542" spans="1:4" x14ac:dyDescent="0.45">
      <c r="A542" t="s">
        <v>544</v>
      </c>
      <c r="B542">
        <v>34.062778799999997</v>
      </c>
      <c r="C542">
        <v>-118.3972095</v>
      </c>
      <c r="D542" t="str">
        <f>HYPERLINK("https://streetviewpixels-pa.googleapis.com/v1/thumbnail?panoid=2pMby4JvecQeGh3NxEpWYw&amp;cb_client=search.gws-prod.gps&amp;w=408&amp;h=240&amp;yaw=251.44972&amp;pitch=0&amp;thumbfov=100", "link")</f>
        <v>link</v>
      </c>
    </row>
    <row r="543" spans="1:4" x14ac:dyDescent="0.45">
      <c r="A543" t="s">
        <v>545</v>
      </c>
      <c r="B543">
        <v>34.066549899999998</v>
      </c>
      <c r="C543">
        <v>-118.3981611</v>
      </c>
      <c r="D543" t="str">
        <f>HYPERLINK("https://streetviewpixels-pa.googleapis.com/v1/thumbnail?panoid=58oExf4AY4Ww2CFDfDXmOg&amp;cb_client=search.gws-prod.gps&amp;w=408&amp;h=240&amp;yaw=231.04327&amp;pitch=0&amp;thumbfov=100", "link")</f>
        <v>link</v>
      </c>
    </row>
    <row r="544" spans="1:4" x14ac:dyDescent="0.45">
      <c r="A544" t="s">
        <v>546</v>
      </c>
      <c r="B544">
        <v>34.065964000000001</v>
      </c>
      <c r="C544">
        <v>-118.400935</v>
      </c>
      <c r="D544" t="str">
        <f>HYPERLINK("https://streetviewpixels-pa.googleapis.com/v1/thumbnail?panoid=U76fLOKVNV71RhwQ_ih9TA&amp;cb_client=search.gws-prod.gps&amp;w=408&amp;h=240&amp;yaw=95.61386&amp;pitch=0&amp;thumbfov=100", "link")</f>
        <v>link</v>
      </c>
    </row>
    <row r="545" spans="1:4" x14ac:dyDescent="0.45">
      <c r="A545" t="s">
        <v>547</v>
      </c>
      <c r="B545">
        <v>34.066722200000001</v>
      </c>
      <c r="C545">
        <v>-118.3984646</v>
      </c>
      <c r="D545" t="str">
        <f>HYPERLINK("https://streetviewpixels-pa.googleapis.com/v1/thumbnail?panoid=58oExf4AY4Ww2CFDfDXmOg&amp;cb_client=search.gws-prod.gps&amp;w=408&amp;h=240&amp;yaw=231.04327&amp;pitch=0&amp;thumbfov=100", "link")</f>
        <v>link</v>
      </c>
    </row>
    <row r="546" spans="1:4" x14ac:dyDescent="0.45">
      <c r="A546" t="s">
        <v>548</v>
      </c>
      <c r="B546">
        <v>34.061995699999997</v>
      </c>
      <c r="C546">
        <v>-118.3987458</v>
      </c>
      <c r="D546" t="str">
        <f>HYPERLINK("https://streetviewpixels-pa.googleapis.com/v1/thumbnail?panoid=X6TjNFkEI_US3JbkEvPrnA&amp;cb_client=search.gws-prod.gps&amp;w=408&amp;h=240&amp;yaw=289.29388&amp;pitch=0&amp;thumbfov=100", "link")</f>
        <v>link</v>
      </c>
    </row>
    <row r="547" spans="1:4" x14ac:dyDescent="0.45">
      <c r="A547" t="s">
        <v>549</v>
      </c>
      <c r="B547">
        <v>34.066644499999903</v>
      </c>
      <c r="C547">
        <v>-118.39983239999999</v>
      </c>
      <c r="D547" t="str">
        <f>HYPERLINK("https://streetviewpixels-pa.googleapis.com/v1/thumbnail?panoid=AbiPbL9fnrLbeV-0JNiJkQ&amp;cb_client=search.gws-prod.gps&amp;w=408&amp;h=240&amp;yaw=319.81808&amp;pitch=0&amp;thumbfov=100", "link")</f>
        <v>link</v>
      </c>
    </row>
    <row r="548" spans="1:4" x14ac:dyDescent="0.45">
      <c r="A548" t="s">
        <v>550</v>
      </c>
      <c r="B548">
        <v>34.061919600000003</v>
      </c>
      <c r="C548">
        <v>-118.399278</v>
      </c>
      <c r="D548" t="str">
        <f>HYPERLINK("https://streetviewpixels-pa.googleapis.com/v1/thumbnail?panoid=mFYPjnVhaKMNMk9iA0dk0w&amp;cb_client=search.gws-prod.gps&amp;w=408&amp;h=240&amp;yaw=215.1614&amp;pitch=0&amp;thumbfov=100", "link")</f>
        <v>link</v>
      </c>
    </row>
    <row r="549" spans="1:4" x14ac:dyDescent="0.45">
      <c r="A549" t="s">
        <v>551</v>
      </c>
      <c r="B549">
        <v>34.066039499999903</v>
      </c>
      <c r="C549">
        <v>-118.4011266</v>
      </c>
      <c r="D549" t="str">
        <f>HYPERLINK("https://streetviewpixels-pa.googleapis.com/v1/thumbnail?panoid=U76fLOKVNV71RhwQ_ih9TA&amp;cb_client=search.gws-prod.gps&amp;w=408&amp;h=240&amp;yaw=95.61386&amp;pitch=0&amp;thumbfov=100", "link")</f>
        <v>link</v>
      </c>
    </row>
    <row r="550" spans="1:4" x14ac:dyDescent="0.45">
      <c r="A550" t="s">
        <v>552</v>
      </c>
      <c r="B550">
        <v>34.061809199999999</v>
      </c>
      <c r="C550">
        <v>-118.3995601</v>
      </c>
      <c r="D550" t="s">
        <v>5</v>
      </c>
    </row>
    <row r="551" spans="1:4" x14ac:dyDescent="0.45">
      <c r="A551" t="s">
        <v>553</v>
      </c>
      <c r="B551">
        <v>34.061348799999998</v>
      </c>
      <c r="C551">
        <v>-118.39872339999999</v>
      </c>
      <c r="D551" t="str">
        <f>HYPERLINK("https://streetviewpixels-pa.googleapis.com/v1/thumbnail?panoid=y_glZCLOhLV7xz3LM4_bjA&amp;cb_client=search.gws-prod.gps&amp;w=408&amp;h=240&amp;yaw=79.36433&amp;pitch=0&amp;thumbfov=100", "link")</f>
        <v>link</v>
      </c>
    </row>
    <row r="552" spans="1:4" x14ac:dyDescent="0.45">
      <c r="A552" t="s">
        <v>554</v>
      </c>
      <c r="B552">
        <v>34.067373499999903</v>
      </c>
      <c r="C552">
        <v>-118.3980995</v>
      </c>
      <c r="D552" t="str">
        <f>HYPERLINK("https://streetviewpixels-pa.googleapis.com/v1/thumbnail?panoid=PpiTUQ3JkJ36Stq0SkhVVg&amp;cb_client=search.gws-prod.gps&amp;w=408&amp;h=240&amp;yaw=181.92805&amp;pitch=0&amp;thumbfov=100", "link")</f>
        <v>link</v>
      </c>
    </row>
    <row r="553" spans="1:4" x14ac:dyDescent="0.45">
      <c r="A553" t="s">
        <v>555</v>
      </c>
      <c r="B553">
        <v>34.069352199999997</v>
      </c>
      <c r="C553">
        <v>-118.398911</v>
      </c>
      <c r="D553" t="str">
        <f>HYPERLINK("https://streetviewpixels-pa.googleapis.com/v1/thumbnail?panoid=Z4tozQRAEduNyYIN1H86yA&amp;cb_client=search.gws-prod.gps&amp;w=408&amp;h=240&amp;yaw=286.81354&amp;pitch=0&amp;thumbfov=100", "link")</f>
        <v>link</v>
      </c>
    </row>
    <row r="554" spans="1:4" x14ac:dyDescent="0.45">
      <c r="A554" t="s">
        <v>556</v>
      </c>
      <c r="B554">
        <v>34.069006399999999</v>
      </c>
      <c r="C554">
        <v>-118.4073284</v>
      </c>
      <c r="D554" t="str">
        <f>HYPERLINK("https://streetviewpixels-pa.googleapis.com/v1/thumbnail?panoid=g8FHkr8gmJzHyIsIEsEgvg&amp;cb_client=search.gws-prod.gps&amp;w=408&amp;h=240&amp;yaw=182.04852&amp;pitch=0&amp;thumbfov=100", "link")</f>
        <v>link</v>
      </c>
    </row>
    <row r="555" spans="1:4" x14ac:dyDescent="0.45">
      <c r="A555" t="s">
        <v>557</v>
      </c>
      <c r="B555">
        <v>34.067973100000003</v>
      </c>
      <c r="C555">
        <v>-118.4070519</v>
      </c>
      <c r="D555" t="str">
        <f>HYPERLINK("https://streetviewpixels-pa.googleapis.com/v1/thumbnail?panoid=PSlKOpLofyCS1YdS9g9oDQ&amp;cb_client=search.gws-prod.gps&amp;w=408&amp;h=240&amp;yaw=187.73863&amp;pitch=0&amp;thumbfov=100", "link")</f>
        <v>link</v>
      </c>
    </row>
    <row r="556" spans="1:4" x14ac:dyDescent="0.45">
      <c r="A556" t="s">
        <v>558</v>
      </c>
      <c r="B556">
        <v>34.067642599999999</v>
      </c>
      <c r="C556">
        <v>-118.4069702</v>
      </c>
      <c r="D556" t="str">
        <f>HYPERLINK("https://streetviewpixels-pa.googleapis.com/v1/thumbnail?panoid=A9Pg6It2xUclgkeRkbknDw&amp;cb_client=search.gws-prod.gps&amp;w=408&amp;h=240&amp;yaw=223.52077&amp;pitch=0&amp;thumbfov=100", "link")</f>
        <v>link</v>
      </c>
    </row>
    <row r="557" spans="1:4" x14ac:dyDescent="0.45">
      <c r="A557" t="s">
        <v>559</v>
      </c>
      <c r="B557">
        <v>34.0674207</v>
      </c>
      <c r="C557">
        <v>-118.4067115</v>
      </c>
      <c r="D557" t="str">
        <f>HYPERLINK("https://streetviewpixels-pa.googleapis.com/v1/thumbnail?panoid=7nG7XluO3zyDW-f2p2pNEw&amp;cb_client=search.gws-prod.gps&amp;w=408&amp;h=240&amp;yaw=274.04895&amp;pitch=0&amp;thumbfov=100", "link")</f>
        <v>link</v>
      </c>
    </row>
    <row r="558" spans="1:4" x14ac:dyDescent="0.45">
      <c r="A558" t="s">
        <v>560</v>
      </c>
      <c r="B558">
        <v>34.068156100000003</v>
      </c>
      <c r="C558">
        <v>-118.4074603</v>
      </c>
      <c r="D558" t="str">
        <f>HYPERLINK("https://streetviewpixels-pa.googleapis.com/v1/thumbnail?panoid=PSlKOpLofyCS1YdS9g9oDQ&amp;cb_client=search.gws-prod.gps&amp;w=408&amp;h=240&amp;yaw=187.73863&amp;pitch=0&amp;thumbfov=100", "link")</f>
        <v>link</v>
      </c>
    </row>
    <row r="559" spans="1:4" x14ac:dyDescent="0.45">
      <c r="A559" t="s">
        <v>561</v>
      </c>
      <c r="B559">
        <v>34.068150500000002</v>
      </c>
      <c r="C559">
        <v>-118.40771030000001</v>
      </c>
      <c r="D559" t="str">
        <f>HYPERLINK("https://streetviewpixels-pa.googleapis.com/v1/thumbnail?panoid=PSlKOpLofyCS1YdS9g9oDQ&amp;cb_client=search.gws-prod.gps&amp;w=408&amp;h=240&amp;yaw=187.73863&amp;pitch=0&amp;thumbfov=100", "link")</f>
        <v>link</v>
      </c>
    </row>
    <row r="560" spans="1:4" x14ac:dyDescent="0.45">
      <c r="A560" t="s">
        <v>562</v>
      </c>
      <c r="B560">
        <v>34.068132599999998</v>
      </c>
      <c r="C560">
        <v>-118.4077545</v>
      </c>
      <c r="D560" t="str">
        <f>HYPERLINK("https://streetviewpixels-pa.googleapis.com/v1/thumbnail?panoid=9aNI4ns1Ubv_vzX1Ingfvw&amp;cb_client=search.gws-prod.gps&amp;w=408&amp;h=240&amp;yaw=324.55804&amp;pitch=0&amp;thumbfov=100", "link")</f>
        <v>link</v>
      </c>
    </row>
    <row r="561" spans="1:4" x14ac:dyDescent="0.45">
      <c r="A561" t="s">
        <v>563</v>
      </c>
      <c r="B561">
        <v>34.067526200000003</v>
      </c>
      <c r="C561">
        <v>-118.4076092</v>
      </c>
      <c r="D561" t="str">
        <f>HYPERLINK("https://streetviewpixels-pa.googleapis.com/v1/thumbnail?panoid=X0jum_T5gbMosH2MXmlK9A&amp;cb_client=search.gws-prod.gps&amp;w=408&amp;h=240&amp;yaw=38.92035&amp;pitch=0&amp;thumbfov=100", "link")</f>
        <v>link</v>
      </c>
    </row>
    <row r="562" spans="1:4" x14ac:dyDescent="0.45">
      <c r="A562" t="s">
        <v>564</v>
      </c>
      <c r="B562">
        <v>34.069074999999998</v>
      </c>
      <c r="C562">
        <v>-118.407093</v>
      </c>
      <c r="D562" t="str">
        <f>HYPERLINK("https://streetviewpixels-pa.googleapis.com/v1/thumbnail?panoid=g8FHkr8gmJzHyIsIEsEgvg&amp;cb_client=search.gws-prod.gps&amp;w=408&amp;h=240&amp;yaw=182.04852&amp;pitch=0&amp;thumbfov=100", "link")</f>
        <v>link</v>
      </c>
    </row>
    <row r="563" spans="1:4" x14ac:dyDescent="0.45">
      <c r="A563" t="s">
        <v>565</v>
      </c>
      <c r="B563">
        <v>34.058984000000002</v>
      </c>
      <c r="C563">
        <v>-118.3930637</v>
      </c>
      <c r="D563" t="str">
        <f>HYPERLINK("https://streetviewpixels-pa.googleapis.com/v1/thumbnail?panoid=e9AOL-OURky_Ogox0S8rvw&amp;cb_client=search.gws-prod.gps&amp;w=408&amp;h=240&amp;yaw=259.73514&amp;pitch=0&amp;thumbfov=100", "link")</f>
        <v>link</v>
      </c>
    </row>
    <row r="564" spans="1:4" x14ac:dyDescent="0.45">
      <c r="A564" t="s">
        <v>566</v>
      </c>
      <c r="B564">
        <v>34.0665798</v>
      </c>
      <c r="C564">
        <v>-118.3935728</v>
      </c>
      <c r="D564" t="str">
        <f>HYPERLINK("https://streetviewpixels-pa.googleapis.com/v1/thumbnail?panoid=yemXtedn4Oap83I5t2ylpg&amp;cb_client=search.gws-prod.gps&amp;w=408&amp;h=240&amp;yaw=98.910805&amp;pitch=0&amp;thumbfov=100", "link")</f>
        <v>link</v>
      </c>
    </row>
    <row r="565" spans="1:4" x14ac:dyDescent="0.45">
      <c r="A565" t="s">
        <v>567</v>
      </c>
      <c r="B565">
        <v>34.059881900000001</v>
      </c>
      <c r="C565">
        <v>-118.4026063</v>
      </c>
      <c r="D565" t="str">
        <f>HYPERLINK("https://streetviewpixels-pa.googleapis.com/v1/thumbnail?panoid=2m3nvS1p6fjhbIQrGiFJJA&amp;cb_client=search.gws-prod.gps&amp;w=408&amp;h=240&amp;yaw=242.26974&amp;pitch=0&amp;thumbfov=100", "link")</f>
        <v>link</v>
      </c>
    </row>
    <row r="566" spans="1:4" x14ac:dyDescent="0.45">
      <c r="A566" t="s">
        <v>568</v>
      </c>
      <c r="B566">
        <v>34.073492199999997</v>
      </c>
      <c r="C566">
        <v>-118.3990582</v>
      </c>
      <c r="D566" t="str">
        <f>HYPERLINK("https://streetviewpixels-pa.googleapis.com/v1/thumbnail?panoid=jt_ROalYtARrjihrEtG6yQ&amp;cb_client=search.gws-prod.gps&amp;w=408&amp;h=240&amp;yaw=68.319565&amp;pitch=0&amp;thumbfov=100", "link")</f>
        <v>link</v>
      </c>
    </row>
    <row r="567" spans="1:4" x14ac:dyDescent="0.45">
      <c r="A567" t="s">
        <v>569</v>
      </c>
      <c r="B567">
        <v>34.073669799999998</v>
      </c>
      <c r="C567">
        <v>-118.3991114</v>
      </c>
      <c r="D567" t="str">
        <f>HYPERLINK("https://streetviewpixels-pa.googleapis.com/v1/thumbnail?panoid=jt_ROalYtARrjihrEtG6yQ&amp;cb_client=search.gws-prod.gps&amp;w=408&amp;h=240&amp;yaw=68.319565&amp;pitch=0&amp;thumbfov=100", "link")</f>
        <v>link</v>
      </c>
    </row>
    <row r="568" spans="1:4" x14ac:dyDescent="0.45">
      <c r="A568" t="s">
        <v>570</v>
      </c>
      <c r="B568">
        <v>34.073620400000003</v>
      </c>
      <c r="C568">
        <v>-118.4003563</v>
      </c>
      <c r="D568" t="s">
        <v>5</v>
      </c>
    </row>
    <row r="569" spans="1:4" x14ac:dyDescent="0.45">
      <c r="A569" t="s">
        <v>571</v>
      </c>
      <c r="B569">
        <v>34.0726169</v>
      </c>
      <c r="C569">
        <v>-118.3979169</v>
      </c>
      <c r="D569" t="str">
        <f>HYPERLINK("https://streetviewpixels-pa.googleapis.com/v1/thumbnail?panoid=7V-4pR9kS2ESZbcpzelGAA&amp;cb_client=search.gws-prod.gps&amp;w=408&amp;h=240&amp;yaw=350.71713&amp;pitch=0&amp;thumbfov=100", "link")</f>
        <v>link</v>
      </c>
    </row>
    <row r="570" spans="1:4" x14ac:dyDescent="0.45">
      <c r="A570" t="s">
        <v>572</v>
      </c>
      <c r="B570">
        <v>34.073653299999997</v>
      </c>
      <c r="C570">
        <v>-118.39722310000001</v>
      </c>
      <c r="D570" t="str">
        <f>HYPERLINK("https://streetviewpixels-pa.googleapis.com/v1/thumbnail?panoid=BW5k45SuvMdvR7VrdHNkjw&amp;cb_client=search.gws-prod.gps&amp;w=408&amp;h=240&amp;yaw=2.9496334&amp;pitch=0&amp;thumbfov=100", "link")</f>
        <v>link</v>
      </c>
    </row>
    <row r="571" spans="1:4" x14ac:dyDescent="0.45">
      <c r="A571" t="s">
        <v>573</v>
      </c>
      <c r="B571">
        <v>34.074669499999999</v>
      </c>
      <c r="C571">
        <v>-118.39771810000001</v>
      </c>
      <c r="D571" t="s">
        <v>5</v>
      </c>
    </row>
    <row r="572" spans="1:4" x14ac:dyDescent="0.45">
      <c r="A572" t="s">
        <v>574</v>
      </c>
      <c r="B572">
        <v>34.0725956</v>
      </c>
      <c r="C572">
        <v>-118.39545219999999</v>
      </c>
      <c r="D572" t="str">
        <f>HYPERLINK("https://streetviewpixels-pa.googleapis.com/v1/thumbnail?panoid=79HllJwmZC4ykv4yRXckoA&amp;cb_client=search.gws-prod.gps&amp;w=408&amp;h=240&amp;yaw=343.14368&amp;pitch=0&amp;thumbfov=100", "link")</f>
        <v>link</v>
      </c>
    </row>
    <row r="573" spans="1:4" x14ac:dyDescent="0.45">
      <c r="A573" t="s">
        <v>575</v>
      </c>
      <c r="B573">
        <v>34.055900600000001</v>
      </c>
      <c r="C573">
        <v>-118.3953171</v>
      </c>
      <c r="D573" t="str">
        <f>HYPERLINK("https://streetviewpixels-pa.googleapis.com/v1/thumbnail?panoid=w1gODWa6i7OlKqXT7qmbDg&amp;cb_client=search.gws-prod.gps&amp;w=408&amp;h=240&amp;yaw=266.95886&amp;pitch=0&amp;thumbfov=100", "link")</f>
        <v>link</v>
      </c>
    </row>
    <row r="574" spans="1:4" x14ac:dyDescent="0.45">
      <c r="A574" t="s">
        <v>576</v>
      </c>
      <c r="B574">
        <v>34.054752499999999</v>
      </c>
      <c r="C574">
        <v>-118.39835170000001</v>
      </c>
      <c r="D574" t="str">
        <f>HYPERLINK("https://streetviewpixels-pa.googleapis.com/v1/thumbnail?panoid=nvKxWExzo8bZ_PoHAxn9KQ&amp;cb_client=search.gws-prod.gps&amp;w=408&amp;h=240&amp;yaw=174.28215&amp;pitch=0&amp;thumbfov=100", "link")</f>
        <v>link</v>
      </c>
    </row>
    <row r="575" spans="1:4" x14ac:dyDescent="0.45">
      <c r="A575" t="s">
        <v>577</v>
      </c>
      <c r="B575">
        <v>34.054704800000003</v>
      </c>
      <c r="C575">
        <v>-118.3981591</v>
      </c>
      <c r="D575" t="str">
        <f>HYPERLINK("https://streetviewpixels-pa.googleapis.com/v1/thumbnail?panoid=nvKxWExzo8bZ_PoHAxn9KQ&amp;cb_client=search.gws-prod.gps&amp;w=408&amp;h=240&amp;yaw=174.28215&amp;pitch=0&amp;thumbfov=100", "link")</f>
        <v>link</v>
      </c>
    </row>
    <row r="576" spans="1:4" x14ac:dyDescent="0.45">
      <c r="A576" t="s">
        <v>578</v>
      </c>
      <c r="B576">
        <v>34.066103899999902</v>
      </c>
      <c r="C576">
        <v>-118.41345029999999</v>
      </c>
      <c r="D576" t="str">
        <f>HYPERLINK("https://lh5.googleusercontent.com/p/AF1QipPzgqrmABzeJizaIwDHFopFDP-EtpxxAUWLVm-i=w408-h544-k-no", "link")</f>
        <v>link</v>
      </c>
    </row>
    <row r="577" spans="1:4" x14ac:dyDescent="0.45">
      <c r="A577" t="s">
        <v>579</v>
      </c>
      <c r="B577">
        <v>34.066214199999898</v>
      </c>
      <c r="C577">
        <v>-118.4057787</v>
      </c>
      <c r="D577" t="str">
        <f>HYPERLINK("https://lh5.googleusercontent.com/p/AF1QipN0yHRCkaaGyjbJaC3hG8u-snABOHcr2BU4rKZq=w408-h544-k-no", "link")</f>
        <v>link</v>
      </c>
    </row>
    <row r="578" spans="1:4" x14ac:dyDescent="0.45">
      <c r="A578" t="s">
        <v>580</v>
      </c>
      <c r="B578">
        <v>34.064287899999997</v>
      </c>
      <c r="C578">
        <v>-118.4128645</v>
      </c>
      <c r="D578" t="str">
        <f>HYPERLINK("https://streetviewpixels-pa.googleapis.com/v1/thumbnail?panoid=05jq96QrsWpxe3pQ5vYvTQ&amp;cb_client=search.gws-prod.gps&amp;w=408&amp;h=240&amp;yaw=331.8699&amp;pitch=0&amp;thumbfov=100", "link")</f>
        <v>link</v>
      </c>
    </row>
    <row r="579" spans="1:4" x14ac:dyDescent="0.45">
      <c r="A579" t="s">
        <v>581</v>
      </c>
      <c r="B579">
        <v>34.064610299999998</v>
      </c>
      <c r="C579">
        <v>-118.4132525</v>
      </c>
      <c r="D579" t="s">
        <v>5</v>
      </c>
    </row>
    <row r="580" spans="1:4" x14ac:dyDescent="0.45">
      <c r="A580" t="s">
        <v>582</v>
      </c>
      <c r="B580">
        <v>34.064185000000002</v>
      </c>
      <c r="C580">
        <v>-118.41295580000001</v>
      </c>
      <c r="D580" t="s">
        <v>5</v>
      </c>
    </row>
    <row r="581" spans="1:4" x14ac:dyDescent="0.45">
      <c r="A581" t="s">
        <v>583</v>
      </c>
      <c r="B581">
        <v>34.064070699999903</v>
      </c>
      <c r="C581">
        <v>-118.41309270000001</v>
      </c>
      <c r="D581" t="str">
        <f>HYPERLINK("https://streetviewpixels-pa.googleapis.com/v1/thumbnail?panoid=M41NI4-BoEg4zxKadIW0tA&amp;cb_client=search.gws-prod.gps&amp;w=408&amp;h=240&amp;yaw=307.65195&amp;pitch=0&amp;thumbfov=100", "link")</f>
        <v>link</v>
      </c>
    </row>
    <row r="582" spans="1:4" x14ac:dyDescent="0.45">
      <c r="A582" t="s">
        <v>584</v>
      </c>
      <c r="B582">
        <v>34.063996400000001</v>
      </c>
      <c r="C582">
        <v>-118.41322959999999</v>
      </c>
      <c r="D582" t="s">
        <v>5</v>
      </c>
    </row>
    <row r="583" spans="1:4" x14ac:dyDescent="0.45">
      <c r="A583" t="s">
        <v>585</v>
      </c>
      <c r="B583">
        <v>34.064004799999999</v>
      </c>
      <c r="C583">
        <v>-118.41343500000001</v>
      </c>
      <c r="D583" t="s">
        <v>5</v>
      </c>
    </row>
    <row r="584" spans="1:4" x14ac:dyDescent="0.45">
      <c r="A584" t="s">
        <v>586</v>
      </c>
      <c r="B584">
        <v>34.064501399999997</v>
      </c>
      <c r="C584">
        <v>-118.4138458</v>
      </c>
      <c r="D584" t="s">
        <v>5</v>
      </c>
    </row>
    <row r="585" spans="1:4" x14ac:dyDescent="0.45">
      <c r="A585" t="s">
        <v>587</v>
      </c>
      <c r="B585">
        <v>34.063790699999998</v>
      </c>
      <c r="C585">
        <v>-118.41369899999999</v>
      </c>
      <c r="D585" t="str">
        <f>HYPERLINK("https://streetviewpixels-pa.googleapis.com/v1/thumbnail?panoid=yqAi6TPyhwUW_vjHjrtjYw&amp;cb_client=search.gws-prod.gps&amp;w=408&amp;h=240&amp;yaw=269.63962&amp;pitch=0&amp;thumbfov=100", "link")</f>
        <v>link</v>
      </c>
    </row>
    <row r="586" spans="1:4" x14ac:dyDescent="0.45">
      <c r="A586" t="s">
        <v>588</v>
      </c>
      <c r="B586">
        <v>34.0616536</v>
      </c>
      <c r="C586">
        <v>-118.41069659999999</v>
      </c>
      <c r="D586" t="s">
        <v>5</v>
      </c>
    </row>
    <row r="587" spans="1:4" x14ac:dyDescent="0.45">
      <c r="A587" t="s">
        <v>589</v>
      </c>
      <c r="B587">
        <v>34.066179999999903</v>
      </c>
      <c r="C587">
        <v>-118.409661</v>
      </c>
      <c r="D587" t="str">
        <f>HYPERLINK("https://streetviewpixels-pa.googleapis.com/v1/thumbnail?panoid=ykdrnIleXnpWG8mQv2pfKg&amp;cb_client=search.gws-prod.gps&amp;w=408&amp;h=240&amp;yaw=89.35951&amp;pitch=0&amp;thumbfov=100", "link")</f>
        <v>link</v>
      </c>
    </row>
    <row r="588" spans="1:4" x14ac:dyDescent="0.45">
      <c r="A588" t="s">
        <v>590</v>
      </c>
      <c r="B588">
        <v>34.066657999999997</v>
      </c>
      <c r="C588">
        <v>-118.4092361</v>
      </c>
      <c r="D588" t="str">
        <f>HYPERLINK("https://streetviewpixels-pa.googleapis.com/v1/thumbnail?panoid=kJQi0FI-OMDxDar-hro3Fw&amp;cb_client=search.gws-prod.gps&amp;w=408&amp;h=240&amp;yaw=169.56563&amp;pitch=0&amp;thumbfov=100", "link")</f>
        <v>link</v>
      </c>
    </row>
    <row r="589" spans="1:4" x14ac:dyDescent="0.45">
      <c r="A589" t="s">
        <v>591</v>
      </c>
      <c r="B589">
        <v>34.0660562999999</v>
      </c>
      <c r="C589">
        <v>-118.40876470000001</v>
      </c>
      <c r="D589" t="str">
        <f>HYPERLINK("https://streetviewpixels-pa.googleapis.com/v1/thumbnail?panoid=-5Wu6WFfisXylsyfzCkaCg&amp;cb_client=search.gws-prod.gps&amp;w=408&amp;h=240&amp;yaw=93.01617&amp;pitch=0&amp;thumbfov=100", "link")</f>
        <v>link</v>
      </c>
    </row>
    <row r="590" spans="1:4" x14ac:dyDescent="0.45">
      <c r="A590" t="s">
        <v>592</v>
      </c>
      <c r="B590">
        <v>34.066363299999999</v>
      </c>
      <c r="C590">
        <v>-118.4081243</v>
      </c>
      <c r="D590" t="str">
        <f>HYPERLINK("https://streetviewpixels-pa.googleapis.com/v1/thumbnail?panoid=MW1sD4umpNts3xusJYvKww&amp;cb_client=search.gws-prod.gps&amp;w=408&amp;h=240&amp;yaw=6.1774983&amp;pitch=0&amp;thumbfov=100", "link")</f>
        <v>link</v>
      </c>
    </row>
    <row r="591" spans="1:4" x14ac:dyDescent="0.45">
      <c r="A591" t="s">
        <v>593</v>
      </c>
      <c r="B591">
        <v>34.066010800000001</v>
      </c>
      <c r="C591">
        <v>-118.4116551</v>
      </c>
      <c r="D591" t="s">
        <v>5</v>
      </c>
    </row>
    <row r="592" spans="1:4" x14ac:dyDescent="0.45">
      <c r="A592" t="s">
        <v>594</v>
      </c>
      <c r="B592">
        <v>34.066587599999998</v>
      </c>
      <c r="C592">
        <v>-118.40762669999999</v>
      </c>
      <c r="D592" t="str">
        <f>HYPERLINK("https://streetviewpixels-pa.googleapis.com/v1/thumbnail?panoid=KlMhnNfep6pqYZ7P41mwrg&amp;cb_client=search.gws-prod.gps&amp;w=408&amp;h=240&amp;yaw=135.40881&amp;pitch=0&amp;thumbfov=100", "link")</f>
        <v>link</v>
      </c>
    </row>
    <row r="593" spans="1:4" x14ac:dyDescent="0.45">
      <c r="A593" t="s">
        <v>595</v>
      </c>
      <c r="B593">
        <v>34.065165399999998</v>
      </c>
      <c r="C593">
        <v>-118.4118376</v>
      </c>
      <c r="D593" t="s">
        <v>5</v>
      </c>
    </row>
    <row r="594" spans="1:4" x14ac:dyDescent="0.45">
      <c r="A594" t="s">
        <v>596</v>
      </c>
      <c r="B594">
        <v>34.064941900000001</v>
      </c>
      <c r="C594">
        <v>-118.41288729999999</v>
      </c>
      <c r="D594" t="s">
        <v>5</v>
      </c>
    </row>
    <row r="595" spans="1:4" x14ac:dyDescent="0.45">
      <c r="A595" t="s">
        <v>597</v>
      </c>
      <c r="B595">
        <v>34.066233399999902</v>
      </c>
      <c r="C595">
        <v>-118.4060453</v>
      </c>
      <c r="D595" t="str">
        <f>HYPERLINK("https://streetviewpixels-pa.googleapis.com/v1/thumbnail?panoid=PbYmFDsulMOldsEozJ4luQ&amp;cb_client=search.gws-prod.gps&amp;w=408&amp;h=240&amp;yaw=191.09079&amp;pitch=0&amp;thumbfov=100", "link")</f>
        <v>link</v>
      </c>
    </row>
    <row r="596" spans="1:4" x14ac:dyDescent="0.45">
      <c r="A596" t="s">
        <v>598</v>
      </c>
      <c r="B596">
        <v>34.064644899999998</v>
      </c>
      <c r="C596">
        <v>-118.41279609999999</v>
      </c>
      <c r="D596" t="s">
        <v>5</v>
      </c>
    </row>
    <row r="597" spans="1:4" x14ac:dyDescent="0.45">
      <c r="A597" t="s">
        <v>599</v>
      </c>
      <c r="B597">
        <v>34.064816100000002</v>
      </c>
      <c r="C597">
        <v>-118.4130699</v>
      </c>
      <c r="D597" t="s">
        <v>5</v>
      </c>
    </row>
    <row r="598" spans="1:4" x14ac:dyDescent="0.45">
      <c r="A598" t="s">
        <v>600</v>
      </c>
      <c r="B598">
        <v>34.073133200000001</v>
      </c>
      <c r="C598">
        <v>-118.3939845</v>
      </c>
      <c r="D598" t="str">
        <f>HYPERLINK("https://streetviewpixels-pa.googleapis.com/v1/thumbnail?panoid=NX68GmoVkMbc6rEljnfmog&amp;cb_client=search.gws-prod.gps&amp;w=408&amp;h=240&amp;yaw=175.9689&amp;pitch=0&amp;thumbfov=100", "link")</f>
        <v>link</v>
      </c>
    </row>
    <row r="599" spans="1:4" x14ac:dyDescent="0.45">
      <c r="A599" t="s">
        <v>601</v>
      </c>
      <c r="B599">
        <v>34.074612700000003</v>
      </c>
      <c r="C599">
        <v>-118.39394590000001</v>
      </c>
      <c r="D599" t="str">
        <f>HYPERLINK("https://lh5.googleusercontent.com/p/AF1QipPZLe-R0knqG0ZTWIa4Y2yut0GtTCDPYH1h3Stk=w408-h544-k-no", "link")</f>
        <v>link</v>
      </c>
    </row>
    <row r="600" spans="1:4" x14ac:dyDescent="0.45">
      <c r="A600" t="s">
        <v>602</v>
      </c>
      <c r="B600">
        <v>34.076281299999998</v>
      </c>
      <c r="C600">
        <v>-118.3961113</v>
      </c>
      <c r="D600" t="str">
        <f>HYPERLINK("https://streetviewpixels-pa.googleapis.com/v1/thumbnail?panoid=yHND3uZP8d2xIIZVPiuoWw&amp;cb_client=search.gws-prod.gps&amp;w=408&amp;h=240&amp;yaw=3.4879174&amp;pitch=0&amp;thumbfov=100", "link")</f>
        <v>link</v>
      </c>
    </row>
    <row r="601" spans="1:4" x14ac:dyDescent="0.45">
      <c r="A601" t="s">
        <v>603</v>
      </c>
      <c r="B601">
        <v>34.075809100000001</v>
      </c>
      <c r="C601">
        <v>-118.39424940000001</v>
      </c>
      <c r="D601" t="str">
        <f>HYPERLINK("https://streetviewpixels-pa.googleapis.com/v1/thumbnail?panoid=VXSIgsiGMA6vrO-MZk9G6w&amp;cb_client=search.gws-prod.gps&amp;w=408&amp;h=240&amp;yaw=197.44786&amp;pitch=0&amp;thumbfov=100", "link")</f>
        <v>link</v>
      </c>
    </row>
    <row r="602" spans="1:4" x14ac:dyDescent="0.45">
      <c r="A602" t="s">
        <v>604</v>
      </c>
      <c r="B602">
        <v>34.075822799999997</v>
      </c>
      <c r="C602">
        <v>-118.3940089</v>
      </c>
      <c r="D602" t="str">
        <f>HYPERLINK("https://streetviewpixels-pa.googleapis.com/v1/thumbnail?panoid=lB3dyhCe2a8U5UqJ0ab5Yg&amp;cb_client=search.gws-prod.gps&amp;w=408&amp;h=240&amp;yaw=272.24106&amp;pitch=0&amp;thumbfov=100", "link")</f>
        <v>link</v>
      </c>
    </row>
    <row r="603" spans="1:4" x14ac:dyDescent="0.45">
      <c r="A603" t="s">
        <v>605</v>
      </c>
      <c r="B603">
        <v>34.059543999999903</v>
      </c>
      <c r="C603">
        <v>-118.390226</v>
      </c>
      <c r="D603" t="str">
        <f>HYPERLINK("https://lh5.googleusercontent.com/p/AF1QipNAw1ztzDXf5wk9nhMiB_C2AkRq2SSUcMmHclBo=w408-h306-k-no", "link")</f>
        <v>link</v>
      </c>
    </row>
    <row r="604" spans="1:4" x14ac:dyDescent="0.45">
      <c r="A604" t="s">
        <v>606</v>
      </c>
      <c r="B604">
        <v>34.063472300000001</v>
      </c>
      <c r="C604">
        <v>-118.3692791</v>
      </c>
      <c r="D604" t="str">
        <f>HYPERLINK("https://streetviewpixels-pa.googleapis.com/v1/thumbnail?panoid=-O96tHoNpPaGlgxWx_os3A&amp;cb_client=search.gws-prod.gps&amp;w=408&amp;h=240&amp;yaw=148.18097&amp;pitch=0&amp;thumbfov=100", "link")</f>
        <v>link</v>
      </c>
    </row>
    <row r="605" spans="1:4" x14ac:dyDescent="0.45">
      <c r="A605" t="s">
        <v>607</v>
      </c>
      <c r="B605">
        <v>34.064191600000001</v>
      </c>
      <c r="C605">
        <v>-118.36863700000001</v>
      </c>
      <c r="D605" t="str">
        <f>HYPERLINK("https://streetviewpixels-pa.googleapis.com/v1/thumbnail?panoid=skmOpY-ydO_pgZTGkUAOUA&amp;cb_client=search.gws-prod.gps&amp;w=408&amp;h=240&amp;yaw=273.13412&amp;pitch=0&amp;thumbfov=100", "link")</f>
        <v>link</v>
      </c>
    </row>
    <row r="606" spans="1:4" x14ac:dyDescent="0.45">
      <c r="A606" t="s">
        <v>608</v>
      </c>
      <c r="B606">
        <v>34.068136199999998</v>
      </c>
      <c r="C606">
        <v>-118.3766597</v>
      </c>
      <c r="D606" t="str">
        <f>HYPERLINK("https://streetviewpixels-pa.googleapis.com/v1/thumbnail?panoid=Tten76sFIhAFrqHL_vtw4g&amp;cb_client=search.gws-prod.gps&amp;w=408&amp;h=240&amp;yaw=224.32388&amp;pitch=0&amp;thumbfov=100", "link")</f>
        <v>link</v>
      </c>
    </row>
    <row r="607" spans="1:4" x14ac:dyDescent="0.45">
      <c r="A607" t="s">
        <v>609</v>
      </c>
      <c r="B607">
        <v>34.063306099999998</v>
      </c>
      <c r="C607">
        <v>-118.368708</v>
      </c>
      <c r="D607" t="str">
        <f>HYPERLINK("https://streetviewpixels-pa.googleapis.com/v1/thumbnail?panoid=wcuvE8drjx2CzheOE4aYhg&amp;cb_client=search.gws-prod.gps&amp;w=408&amp;h=240&amp;yaw=184.30481&amp;pitch=0&amp;thumbfov=100", "link")</f>
        <v>link</v>
      </c>
    </row>
    <row r="608" spans="1:4" x14ac:dyDescent="0.45">
      <c r="A608" t="s">
        <v>610</v>
      </c>
      <c r="B608">
        <v>34.061900100000003</v>
      </c>
      <c r="C608">
        <v>-118.376811</v>
      </c>
      <c r="D608" t="str">
        <f>HYPERLINK("https://streetviewpixels-pa.googleapis.com/v1/thumbnail?panoid=yO8AklhHWMSohRqTwATQ8g&amp;cb_client=search.gws-prod.gps&amp;w=408&amp;h=240&amp;yaw=273.0418&amp;pitch=0&amp;thumbfov=100", "link")</f>
        <v>link</v>
      </c>
    </row>
    <row r="609" spans="1:4" x14ac:dyDescent="0.45">
      <c r="A609" t="s">
        <v>611</v>
      </c>
      <c r="B609">
        <v>34.063400999999999</v>
      </c>
      <c r="C609">
        <v>-118.3685977</v>
      </c>
      <c r="D609" t="str">
        <f>HYPERLINK("https://streetviewpixels-pa.googleapis.com/v1/thumbnail?panoid=wcuvE8drjx2CzheOE4aYhg&amp;cb_client=search.gws-prod.gps&amp;w=408&amp;h=240&amp;yaw=184.30481&amp;pitch=0&amp;thumbfov=100", "link")</f>
        <v>link</v>
      </c>
    </row>
    <row r="610" spans="1:4" x14ac:dyDescent="0.45">
      <c r="A610" t="s">
        <v>612</v>
      </c>
      <c r="B610">
        <v>34.0635665</v>
      </c>
      <c r="C610">
        <v>-118.3684164</v>
      </c>
      <c r="D610" t="str">
        <f>HYPERLINK("https://streetviewpixels-pa.googleapis.com/v1/thumbnail?panoid=wcuvE8drjx2CzheOE4aYhg&amp;cb_client=search.gws-prod.gps&amp;w=408&amp;h=240&amp;yaw=184.30481&amp;pitch=0&amp;thumbfov=100", "link")</f>
        <v>link</v>
      </c>
    </row>
    <row r="611" spans="1:4" x14ac:dyDescent="0.45">
      <c r="A611" t="s">
        <v>613</v>
      </c>
      <c r="B611">
        <v>34.063537699999998</v>
      </c>
      <c r="C611">
        <v>-118.36805099999999</v>
      </c>
      <c r="D611" t="str">
        <f>HYPERLINK("https://streetviewpixels-pa.googleapis.com/v1/thumbnail?panoid=HhTPR9qztvux7hwsNgu8pA&amp;cb_client=search.gws-prod.gps&amp;w=408&amp;h=240&amp;yaw=148.65894&amp;pitch=0&amp;thumbfov=100", "link")</f>
        <v>link</v>
      </c>
    </row>
    <row r="612" spans="1:4" x14ac:dyDescent="0.45">
      <c r="A612" t="s">
        <v>614</v>
      </c>
      <c r="B612">
        <v>34.0632856</v>
      </c>
      <c r="C612">
        <v>-118.3681601</v>
      </c>
      <c r="D612" t="str">
        <f>HYPERLINK("https://streetviewpixels-pa.googleapis.com/v1/thumbnail?panoid=HhTPR9qztvux7hwsNgu8pA&amp;cb_client=search.gws-prod.gps&amp;w=408&amp;h=240&amp;yaw=148.65894&amp;pitch=0&amp;thumbfov=100", "link")</f>
        <v>link</v>
      </c>
    </row>
    <row r="613" spans="1:4" x14ac:dyDescent="0.45">
      <c r="A613" t="s">
        <v>615</v>
      </c>
      <c r="B613">
        <v>34.063924999999898</v>
      </c>
      <c r="C613">
        <v>-118.3675156</v>
      </c>
      <c r="D613" t="str">
        <f>HYPERLINK("https://streetviewpixels-pa.googleapis.com/v1/thumbnail?panoid=5VVwSzHbu6lnvYNDNBEkfQ&amp;cb_client=search.gws-prod.gps&amp;w=408&amp;h=240&amp;yaw=3.8567636&amp;pitch=0&amp;thumbfov=100", "link")</f>
        <v>link</v>
      </c>
    </row>
    <row r="614" spans="1:4" x14ac:dyDescent="0.45">
      <c r="A614" t="s">
        <v>616</v>
      </c>
      <c r="B614">
        <v>34.063470700000003</v>
      </c>
      <c r="C614">
        <v>-118.3675652</v>
      </c>
      <c r="D614" t="str">
        <f>HYPERLINK("https://streetviewpixels-pa.googleapis.com/v1/thumbnail?panoid=iT2b7Oo2topUnkFB5HfMAA&amp;cb_client=search.gws-prod.gps&amp;w=408&amp;h=240&amp;yaw=179.8574&amp;pitch=0&amp;thumbfov=100", "link")</f>
        <v>link</v>
      </c>
    </row>
    <row r="615" spans="1:4" x14ac:dyDescent="0.45">
      <c r="A615" t="s">
        <v>617</v>
      </c>
      <c r="B615">
        <v>34.063646599999998</v>
      </c>
      <c r="C615">
        <v>-118.3673271</v>
      </c>
      <c r="D615" t="s">
        <v>5</v>
      </c>
    </row>
    <row r="616" spans="1:4" x14ac:dyDescent="0.45">
      <c r="A616" t="s">
        <v>618</v>
      </c>
      <c r="B616">
        <v>34.060637200000002</v>
      </c>
      <c r="C616">
        <v>-118.3769652</v>
      </c>
      <c r="D616" t="s">
        <v>5</v>
      </c>
    </row>
    <row r="617" spans="1:4" x14ac:dyDescent="0.45">
      <c r="A617" t="s">
        <v>619</v>
      </c>
      <c r="B617">
        <v>34.070264399999999</v>
      </c>
      <c r="C617">
        <v>-118.3753758</v>
      </c>
      <c r="D617" t="str">
        <f>HYPERLINK("https://streetviewpixels-pa.googleapis.com/v1/thumbnail?panoid=J3DiW3ZFDm1KKRikQ1BdAA&amp;cb_client=search.gws-prod.gps&amp;w=408&amp;h=240&amp;yaw=44.699886&amp;pitch=0&amp;thumbfov=100", "link")</f>
        <v>link</v>
      </c>
    </row>
    <row r="618" spans="1:4" x14ac:dyDescent="0.45">
      <c r="A618" t="s">
        <v>620</v>
      </c>
      <c r="B618">
        <v>34.070671999999902</v>
      </c>
      <c r="C618">
        <v>-118.3754952</v>
      </c>
      <c r="D618" t="str">
        <f>HYPERLINK("https://streetviewpixels-pa.googleapis.com/v1/thumbnail?panoid=tOfghz2AXVsOmC5WK56Wng&amp;cb_client=search.gws-prod.gps&amp;w=408&amp;h=240&amp;yaw=52.748444&amp;pitch=0&amp;thumbfov=100", "link")</f>
        <v>link</v>
      </c>
    </row>
    <row r="619" spans="1:4" x14ac:dyDescent="0.45">
      <c r="A619" t="s">
        <v>621</v>
      </c>
      <c r="B619">
        <v>34.066481699999997</v>
      </c>
      <c r="C619">
        <v>-118.3802457</v>
      </c>
      <c r="D619" t="str">
        <f>HYPERLINK("https://streetviewpixels-pa.googleapis.com/v1/thumbnail?panoid=GS6PhMNCQpzNgj6HHNM1Wg&amp;cb_client=search.gws-prod.gps&amp;w=408&amp;h=240&amp;yaw=49.160393&amp;pitch=0&amp;thumbfov=100", "link")</f>
        <v>link</v>
      </c>
    </row>
    <row r="620" spans="1:4" x14ac:dyDescent="0.45">
      <c r="A620" t="s">
        <v>622</v>
      </c>
      <c r="B620">
        <v>34.063114300000002</v>
      </c>
      <c r="C620">
        <v>-118.36660670000001</v>
      </c>
      <c r="D620" t="str">
        <f>HYPERLINK("https://lh5.googleusercontent.com/p/AF1QipPuNXUb4vLl7QS_mYmcQceqgj0b-sqk94MO_CEz=w408-h725-k-no", "link")</f>
        <v>link</v>
      </c>
    </row>
    <row r="621" spans="1:4" x14ac:dyDescent="0.45">
      <c r="A621" t="s">
        <v>623</v>
      </c>
      <c r="B621">
        <v>34.060841400000001</v>
      </c>
      <c r="C621">
        <v>-118.36834210000001</v>
      </c>
      <c r="D621" t="str">
        <f>HYPERLINK("https://streetviewpixels-pa.googleapis.com/v1/thumbnail?panoid=Qj6Gwg1OUmOvCz7Xl1U3ug&amp;cb_client=search.gws-prod.gps&amp;w=408&amp;h=240&amp;yaw=232.82742&amp;pitch=0&amp;thumbfov=100", "link")</f>
        <v>link</v>
      </c>
    </row>
    <row r="622" spans="1:4" x14ac:dyDescent="0.45">
      <c r="A622" t="s">
        <v>624</v>
      </c>
      <c r="B622">
        <v>34.0660357</v>
      </c>
      <c r="C622">
        <v>-118.38084859999999</v>
      </c>
      <c r="D622" t="str">
        <f>HYPERLINK("https://streetviewpixels-pa.googleapis.com/v1/thumbnail?panoid=YMZe1-kYFRq7gnLMZD7gsQ&amp;cb_client=search.gws-prod.gps&amp;w=408&amp;h=240&amp;yaw=199.63553&amp;pitch=0&amp;thumbfov=100", "link")</f>
        <v>link</v>
      </c>
    </row>
    <row r="623" spans="1:4" x14ac:dyDescent="0.45">
      <c r="A623" t="s">
        <v>625</v>
      </c>
      <c r="B623">
        <v>34.066671699999901</v>
      </c>
      <c r="C623">
        <v>-118.38071119999999</v>
      </c>
      <c r="D623" t="str">
        <f>HYPERLINK("https://streetviewpixels-pa.googleapis.com/v1/thumbnail?panoid=VOASWTCFcsvKBa3OIFKzPQ&amp;cb_client=search.gws-prod.gps&amp;w=408&amp;h=240&amp;yaw=22.09363&amp;pitch=0&amp;thumbfov=100", "link")</f>
        <v>link</v>
      </c>
    </row>
    <row r="624" spans="1:4" x14ac:dyDescent="0.45">
      <c r="A624" t="s">
        <v>626</v>
      </c>
      <c r="B624">
        <v>34.065099699999998</v>
      </c>
      <c r="C624">
        <v>-118.37336209999999</v>
      </c>
      <c r="D624" t="str">
        <f>HYPERLINK("https://streetviewpixels-pa.googleapis.com/v1/thumbnail?panoid=V_2D7__VCX5n5VCvPUAB4Q&amp;cb_client=search.gws-prod.gps&amp;w=408&amp;h=240&amp;yaw=333.28268&amp;pitch=0&amp;thumbfov=100", "link")</f>
        <v>link</v>
      </c>
    </row>
    <row r="625" spans="1:4" x14ac:dyDescent="0.45">
      <c r="A625" t="s">
        <v>627</v>
      </c>
      <c r="B625">
        <v>34.064939600000002</v>
      </c>
      <c r="C625">
        <v>-118.3740485</v>
      </c>
      <c r="D625" t="s">
        <v>5</v>
      </c>
    </row>
    <row r="626" spans="1:4" x14ac:dyDescent="0.45">
      <c r="A626" t="s">
        <v>628</v>
      </c>
      <c r="B626">
        <v>34.0656453</v>
      </c>
      <c r="C626">
        <v>-118.3725657</v>
      </c>
      <c r="D626" t="str">
        <f>HYPERLINK("https://streetviewpixels-pa.googleapis.com/v1/thumbnail?panoid=n3MPEhwr-2vL_zU2KyuIlA&amp;cb_client=search.gws-prod.gps&amp;w=408&amp;h=240&amp;yaw=76.363884&amp;pitch=0&amp;thumbfov=100", "link")</f>
        <v>link</v>
      </c>
    </row>
    <row r="627" spans="1:4" x14ac:dyDescent="0.45">
      <c r="A627" t="s">
        <v>629</v>
      </c>
      <c r="B627">
        <v>34.064247100000003</v>
      </c>
      <c r="C627">
        <v>-118.3738096</v>
      </c>
      <c r="D627" t="str">
        <f>HYPERLINK("https://streetviewpixels-pa.googleapis.com/v1/thumbnail?panoid=LsgcN-9Yt4QL9ARtz7RRHA&amp;cb_client=search.gws-prod.gps&amp;w=408&amp;h=240&amp;yaw=74.2778&amp;pitch=0&amp;thumbfov=100", "link")</f>
        <v>link</v>
      </c>
    </row>
    <row r="628" spans="1:4" x14ac:dyDescent="0.45">
      <c r="A628" t="s">
        <v>630</v>
      </c>
      <c r="B628">
        <v>34.064285300000002</v>
      </c>
      <c r="C628">
        <v>-118.3743724</v>
      </c>
      <c r="D628" t="str">
        <f>HYPERLINK("https://streetviewpixels-pa.googleapis.com/v1/thumbnail?panoid=CUtkInGALgwGT54BGV686A&amp;cb_client=search.gws-prod.gps&amp;w=408&amp;h=240&amp;yaw=16.265196&amp;pitch=0&amp;thumbfov=100", "link")</f>
        <v>link</v>
      </c>
    </row>
    <row r="629" spans="1:4" x14ac:dyDescent="0.45">
      <c r="A629" t="s">
        <v>631</v>
      </c>
      <c r="B629">
        <v>34.0653594999999</v>
      </c>
      <c r="C629">
        <v>-118.3754694</v>
      </c>
      <c r="D629" t="str">
        <f>HYPERLINK("https://streetviewpixels-pa.googleapis.com/v1/thumbnail?panoid=0ccnrD0St50Kw7pNG-sG8g&amp;cb_client=search.gws-prod.gps&amp;w=408&amp;h=240&amp;yaw=8.347281&amp;pitch=0&amp;thumbfov=100", "link")</f>
        <v>link</v>
      </c>
    </row>
    <row r="630" spans="1:4" x14ac:dyDescent="0.45">
      <c r="A630" t="s">
        <v>632</v>
      </c>
      <c r="B630">
        <v>34.0644311</v>
      </c>
      <c r="C630">
        <v>-118.3755642</v>
      </c>
      <c r="D630" t="str">
        <f>HYPERLINK("https://lh5.googleusercontent.com/p/AF1QipO23hlg0_VQfxGmElxKgafrgNDuTkAMUku7Ca28=w408-h725-k-no", "link")</f>
        <v>link</v>
      </c>
    </row>
    <row r="631" spans="1:4" x14ac:dyDescent="0.45">
      <c r="A631" t="s">
        <v>633</v>
      </c>
      <c r="B631">
        <v>34.065941600000002</v>
      </c>
      <c r="C631">
        <v>-118.37591209999999</v>
      </c>
      <c r="D631" t="str">
        <f>HYPERLINK("https://streetviewpixels-pa.googleapis.com/v1/thumbnail?panoid=I7J8MdJLsBxKOf0tbspurA&amp;cb_client=search.gws-prod.gps&amp;w=408&amp;h=240&amp;yaw=107.566536&amp;pitch=0&amp;thumbfov=100", "link")</f>
        <v>link</v>
      </c>
    </row>
    <row r="632" spans="1:4" x14ac:dyDescent="0.45">
      <c r="A632" t="s">
        <v>634</v>
      </c>
      <c r="B632">
        <v>34.064185600000002</v>
      </c>
      <c r="C632">
        <v>-118.3705911</v>
      </c>
      <c r="D632" t="str">
        <f>HYPERLINK("https://streetviewpixels-pa.googleapis.com/v1/thumbnail?panoid=Kmg_ZuIlN-Eu_u5JGWD7vQ&amp;cb_client=search.gws-prod.gps&amp;w=408&amp;h=240&amp;yaw=21.611744&amp;pitch=0&amp;thumbfov=100", "link")</f>
        <v>link</v>
      </c>
    </row>
    <row r="633" spans="1:4" x14ac:dyDescent="0.45">
      <c r="A633" t="s">
        <v>635</v>
      </c>
      <c r="B633">
        <v>34.0635896</v>
      </c>
      <c r="C633">
        <v>-118.37575270000001</v>
      </c>
      <c r="D633" t="str">
        <f>HYPERLINK("https://streetviewpixels-pa.googleapis.com/v1/thumbnail?panoid=KVPqofpO7-R5hr_wqGF9CA&amp;cb_client=search.gws-prod.gps&amp;w=408&amp;h=240&amp;yaw=74.687775&amp;pitch=0&amp;thumbfov=100", "link")</f>
        <v>link</v>
      </c>
    </row>
    <row r="634" spans="1:4" x14ac:dyDescent="0.45">
      <c r="A634" t="s">
        <v>636</v>
      </c>
      <c r="B634">
        <v>34.064458100000003</v>
      </c>
      <c r="C634">
        <v>-118.37002630000001</v>
      </c>
      <c r="D634" t="str">
        <f>HYPERLINK("https://streetviewpixels-pa.googleapis.com/v1/thumbnail?panoid=Kmg_ZuIlN-Eu_u5JGWD7vQ&amp;cb_client=search.gws-prod.gps&amp;w=408&amp;h=240&amp;yaw=21.611744&amp;pitch=0&amp;thumbfov=100", "link")</f>
        <v>link</v>
      </c>
    </row>
    <row r="635" spans="1:4" x14ac:dyDescent="0.45">
      <c r="A635" t="s">
        <v>637</v>
      </c>
      <c r="B635">
        <v>34.062985599999998</v>
      </c>
      <c r="C635">
        <v>-118.3757327</v>
      </c>
      <c r="D635" t="str">
        <f>HYPERLINK("https://streetviewpixels-pa.googleapis.com/v1/thumbnail?panoid=2p6HcJh030_xzi-UKDHUtg&amp;cb_client=search.gws-prod.gps&amp;w=408&amp;h=240&amp;yaw=117.02574&amp;pitch=0&amp;thumbfov=100", "link")</f>
        <v>link</v>
      </c>
    </row>
    <row r="636" spans="1:4" x14ac:dyDescent="0.45">
      <c r="A636" t="s">
        <v>638</v>
      </c>
      <c r="B636">
        <v>34.063611000000002</v>
      </c>
      <c r="C636">
        <v>-118.3703141</v>
      </c>
      <c r="D636" t="str">
        <f>HYPERLINK("https://streetviewpixels-pa.googleapis.com/v1/thumbnail?panoid=2yicRzJkNQhCEzk4LlK0vA&amp;cb_client=search.gws-prod.gps&amp;w=408&amp;h=240&amp;yaw=288.84106&amp;pitch=0&amp;thumbfov=100", "link")</f>
        <v>link</v>
      </c>
    </row>
    <row r="637" spans="1:4" x14ac:dyDescent="0.45">
      <c r="A637" t="s">
        <v>639</v>
      </c>
      <c r="B637">
        <v>34.063616199999998</v>
      </c>
      <c r="C637">
        <v>-118.3702789</v>
      </c>
      <c r="D637" t="str">
        <f>HYPERLINK("https://streetviewpixels-pa.googleapis.com/v1/thumbnail?panoid=2yicRzJkNQhCEzk4LlK0vA&amp;cb_client=search.gws-prod.gps&amp;w=408&amp;h=240&amp;yaw=288.84106&amp;pitch=0&amp;thumbfov=100", "link")</f>
        <v>link</v>
      </c>
    </row>
    <row r="638" spans="1:4" x14ac:dyDescent="0.45">
      <c r="A638" t="s">
        <v>640</v>
      </c>
      <c r="B638">
        <v>34.063698100000003</v>
      </c>
      <c r="C638">
        <v>-118.3765209</v>
      </c>
      <c r="D638" t="str">
        <f>HYPERLINK("https://streetviewpixels-pa.googleapis.com/v1/thumbnail?panoid=SZumS4kkBltIiGrfsj0u5A&amp;cb_client=search.gws-prod.gps&amp;w=408&amp;h=240&amp;yaw=80.49922&amp;pitch=0&amp;thumbfov=100", "link")</f>
        <v>link</v>
      </c>
    </row>
    <row r="639" spans="1:4" x14ac:dyDescent="0.45">
      <c r="A639" t="s">
        <v>641</v>
      </c>
      <c r="B639">
        <v>34.0650215</v>
      </c>
      <c r="C639">
        <v>-118.37700769999999</v>
      </c>
      <c r="D639" t="str">
        <f>HYPERLINK("https://streetviewpixels-pa.googleapis.com/v1/thumbnail?panoid=9C0lqPkhmrxRwMeGPHgTWA&amp;cb_client=search.gws-prod.gps&amp;w=408&amp;h=240&amp;yaw=113.96126&amp;pitch=0&amp;thumbfov=100", "link")</f>
        <v>link</v>
      </c>
    </row>
    <row r="640" spans="1:4" x14ac:dyDescent="0.45">
      <c r="A640" t="s">
        <v>642</v>
      </c>
      <c r="B640">
        <v>34.064984600000003</v>
      </c>
      <c r="C640">
        <v>-118.3770109</v>
      </c>
      <c r="D640" t="str">
        <f>HYPERLINK("https://streetviewpixels-pa.googleapis.com/v1/thumbnail?panoid=9C0lqPkhmrxRwMeGPHgTWA&amp;cb_client=search.gws-prod.gps&amp;w=408&amp;h=240&amp;yaw=113.96126&amp;pitch=0&amp;thumbfov=100", "link")</f>
        <v>link</v>
      </c>
    </row>
    <row r="641" spans="1:4" x14ac:dyDescent="0.45">
      <c r="A641" t="s">
        <v>643</v>
      </c>
      <c r="B641">
        <v>34.067392900000002</v>
      </c>
      <c r="C641">
        <v>-118.3759381</v>
      </c>
      <c r="D641" t="s">
        <v>5</v>
      </c>
    </row>
    <row r="642" spans="1:4" x14ac:dyDescent="0.45">
      <c r="A642" t="s">
        <v>644</v>
      </c>
      <c r="B642">
        <v>34.0627906</v>
      </c>
      <c r="C642">
        <v>-118.37615359999999</v>
      </c>
      <c r="D642" t="str">
        <f>HYPERLINK("https://streetviewpixels-pa.googleapis.com/v1/thumbnail?panoid=iF5yIiazHDmGoEQ7eeGbZA&amp;cb_client=search.gws-prod.gps&amp;w=408&amp;h=240&amp;yaw=176.38387&amp;pitch=0&amp;thumbfov=100", "link")</f>
        <v>link</v>
      </c>
    </row>
    <row r="643" spans="1:4" x14ac:dyDescent="0.45">
      <c r="A643" t="s">
        <v>645</v>
      </c>
      <c r="B643">
        <v>34.065907899999999</v>
      </c>
      <c r="C643">
        <v>-118.3777733</v>
      </c>
      <c r="D643" t="str">
        <f>HYPERLINK("https://streetviewpixels-pa.googleapis.com/v1/thumbnail?panoid=pRIqfrtfRFN1OE8oBPVujw&amp;cb_client=search.gws-prod.gps&amp;w=408&amp;h=240&amp;yaw=109.12014&amp;pitch=0&amp;thumbfov=100", "link")</f>
        <v>link</v>
      </c>
    </row>
    <row r="644" spans="1:4" x14ac:dyDescent="0.45">
      <c r="A644" t="s">
        <v>646</v>
      </c>
      <c r="B644">
        <v>34.209563799999998</v>
      </c>
      <c r="C644">
        <v>-118.3405332</v>
      </c>
      <c r="D644" t="s">
        <v>5</v>
      </c>
    </row>
    <row r="645" spans="1:4" x14ac:dyDescent="0.45">
      <c r="A645" t="s">
        <v>647</v>
      </c>
      <c r="B645">
        <v>34.190098200000001</v>
      </c>
      <c r="C645">
        <v>-118.3304201</v>
      </c>
      <c r="D645" t="str">
        <f>HYPERLINK("https://streetviewpixels-pa.googleapis.com/v1/thumbnail?panoid=-gLdFDRzWFg1Si58gMc9yQ&amp;cb_client=search.gws-prod.gps&amp;w=408&amp;h=240&amp;yaw=219.68535&amp;pitch=0&amp;thumbfov=100", "link")</f>
        <v>link</v>
      </c>
    </row>
    <row r="646" spans="1:4" x14ac:dyDescent="0.45">
      <c r="A646" t="s">
        <v>648</v>
      </c>
      <c r="B646">
        <v>34.180658600000001</v>
      </c>
      <c r="C646">
        <v>-118.33306779999999</v>
      </c>
      <c r="D646" t="str">
        <f>HYPERLINK("https://streetviewpixels-pa.googleapis.com/v1/thumbnail?panoid=PCSQhL9bGlD74KBX5oBX1Q&amp;cb_client=search.gws-prod.gps&amp;w=408&amp;h=240&amp;yaw=352.42422&amp;pitch=0&amp;thumbfov=100", "link")</f>
        <v>link</v>
      </c>
    </row>
    <row r="647" spans="1:4" x14ac:dyDescent="0.45">
      <c r="A647" t="s">
        <v>649</v>
      </c>
      <c r="B647">
        <v>34.191054399999999</v>
      </c>
      <c r="C647">
        <v>-118.32302850000001</v>
      </c>
      <c r="D647" t="str">
        <f>HYPERLINK("https://streetviewpixels-pa.googleapis.com/v1/thumbnail?panoid=2GB7aX93I1XN4xEQlyzYnA&amp;cb_client=search.gws-prod.gps&amp;w=408&amp;h=240&amp;yaw=269.18735&amp;pitch=0&amp;thumbfov=100", "link")</f>
        <v>link</v>
      </c>
    </row>
    <row r="648" spans="1:4" x14ac:dyDescent="0.45">
      <c r="A648" t="s">
        <v>650</v>
      </c>
      <c r="B648">
        <v>34.190945999999997</v>
      </c>
      <c r="C648">
        <v>-118.3228622</v>
      </c>
      <c r="D648" t="s">
        <v>5</v>
      </c>
    </row>
    <row r="649" spans="1:4" x14ac:dyDescent="0.45">
      <c r="A649" t="s">
        <v>651</v>
      </c>
      <c r="B649">
        <v>34.173839000000001</v>
      </c>
      <c r="C649">
        <v>-118.35895499999999</v>
      </c>
      <c r="D649" t="str">
        <f>HYPERLINK("https://streetviewpixels-pa.googleapis.com/v1/thumbnail?panoid=FBpd9GFl9DAsjyr4bpnD2w&amp;cb_client=search.gws-prod.gps&amp;w=408&amp;h=240&amp;yaw=189.959&amp;pitch=0&amp;thumbfov=100", "link")</f>
        <v>link</v>
      </c>
    </row>
    <row r="650" spans="1:4" x14ac:dyDescent="0.45">
      <c r="A650" t="s">
        <v>652</v>
      </c>
      <c r="B650">
        <v>34.188628199999997</v>
      </c>
      <c r="C650">
        <v>-118.3185958</v>
      </c>
      <c r="D650" t="str">
        <f>HYPERLINK("https://streetviewpixels-pa.googleapis.com/v1/thumbnail?panoid=ykJ6lgJk67lmwK3Xq5m74Q&amp;cb_client=search.gws-prod.gps&amp;w=408&amp;h=240&amp;yaw=261.5737&amp;pitch=0&amp;thumbfov=100", "link")</f>
        <v>link</v>
      </c>
    </row>
    <row r="651" spans="1:4" x14ac:dyDescent="0.45">
      <c r="A651" t="s">
        <v>653</v>
      </c>
      <c r="B651">
        <v>34.187351499999998</v>
      </c>
      <c r="C651">
        <v>-118.3185541</v>
      </c>
      <c r="D651" t="str">
        <f>HYPERLINK("https://streetviewpixels-pa.googleapis.com/v1/thumbnail?panoid=em3Dr-VTj1SvNite4qrSlw&amp;cb_client=search.gws-prod.gps&amp;w=408&amp;h=240&amp;yaw=55.816753&amp;pitch=0&amp;thumbfov=100", "link")</f>
        <v>link</v>
      </c>
    </row>
    <row r="652" spans="1:4" x14ac:dyDescent="0.45">
      <c r="A652" t="s">
        <v>654</v>
      </c>
      <c r="B652">
        <v>34.195635000000003</v>
      </c>
      <c r="C652">
        <v>-118.37940740000001</v>
      </c>
      <c r="D652" t="str">
        <f>HYPERLINK("https://streetviewpixels-pa.googleapis.com/v1/thumbnail?panoid=UEsoMdGsmVPGQMMzTRNMxQ&amp;cb_client=search.gws-prod.gps&amp;w=408&amp;h=240&amp;yaw=272.06174&amp;pitch=0&amp;thumbfov=100", "link")</f>
        <v>link</v>
      </c>
    </row>
    <row r="653" spans="1:4" x14ac:dyDescent="0.45">
      <c r="A653" t="s">
        <v>655</v>
      </c>
      <c r="B653">
        <v>34.1807418</v>
      </c>
      <c r="C653">
        <v>-118.32213160000001</v>
      </c>
      <c r="D653" t="s">
        <v>5</v>
      </c>
    </row>
    <row r="654" spans="1:4" x14ac:dyDescent="0.45">
      <c r="A654" t="s">
        <v>656</v>
      </c>
      <c r="B654">
        <v>34.217709800000002</v>
      </c>
      <c r="C654">
        <v>-118.3680634</v>
      </c>
      <c r="D654" t="s">
        <v>5</v>
      </c>
    </row>
    <row r="655" spans="1:4" x14ac:dyDescent="0.45">
      <c r="A655" t="s">
        <v>657</v>
      </c>
      <c r="B655">
        <v>34.179983399999998</v>
      </c>
      <c r="C655">
        <v>-118.32053329999999</v>
      </c>
      <c r="D655" t="s">
        <v>5</v>
      </c>
    </row>
    <row r="656" spans="1:4" x14ac:dyDescent="0.45">
      <c r="A656" t="s">
        <v>658</v>
      </c>
      <c r="B656">
        <v>34.1870142</v>
      </c>
      <c r="C656">
        <v>-118.3158906</v>
      </c>
      <c r="D656" t="str">
        <f>HYPERLINK("https://streetviewpixels-pa.googleapis.com/v1/thumbnail?panoid=QziSWzM7BIG-pfva85fdmw&amp;cb_client=search.gws-prod.gps&amp;w=408&amp;h=240&amp;yaw=320.70578&amp;pitch=0&amp;thumbfov=100", "link")</f>
        <v>link</v>
      </c>
    </row>
    <row r="657" spans="1:4" x14ac:dyDescent="0.45">
      <c r="A657" t="s">
        <v>659</v>
      </c>
      <c r="B657">
        <v>34.176100699999999</v>
      </c>
      <c r="C657">
        <v>-118.3231049</v>
      </c>
      <c r="D657" t="str">
        <f>HYPERLINK("https://lh5.googleusercontent.com/p/AF1QipPnG02j__twzyeZZsyTPXKT8dTnKUONjnXUlexS=w408-h649-k-no", "link")</f>
        <v>link</v>
      </c>
    </row>
    <row r="658" spans="1:4" x14ac:dyDescent="0.45">
      <c r="A658" t="s">
        <v>660</v>
      </c>
      <c r="B658">
        <v>34.179002500000003</v>
      </c>
      <c r="C658">
        <v>-118.31870670000001</v>
      </c>
      <c r="D658" t="s">
        <v>5</v>
      </c>
    </row>
    <row r="659" spans="1:4" x14ac:dyDescent="0.45">
      <c r="A659" t="s">
        <v>661</v>
      </c>
      <c r="B659">
        <v>34.179294200000001</v>
      </c>
      <c r="C659">
        <v>-118.3173824</v>
      </c>
      <c r="D659" t="s">
        <v>5</v>
      </c>
    </row>
    <row r="660" spans="1:4" x14ac:dyDescent="0.45">
      <c r="A660" t="s">
        <v>662</v>
      </c>
      <c r="B660">
        <v>34.183675000000001</v>
      </c>
      <c r="C660">
        <v>-118.31433869999999</v>
      </c>
      <c r="D660" t="str">
        <f>HYPERLINK("https://streetviewpixels-pa.googleapis.com/v1/thumbnail?panoid=RNKj2lptm9eOoUfKAn2Bug&amp;cb_client=search.gws-prod.gps&amp;w=408&amp;h=240&amp;yaw=172.83075&amp;pitch=0&amp;thumbfov=100", "link")</f>
        <v>link</v>
      </c>
    </row>
    <row r="661" spans="1:4" x14ac:dyDescent="0.45">
      <c r="A661" t="s">
        <v>663</v>
      </c>
      <c r="B661">
        <v>34.179328699999999</v>
      </c>
      <c r="C661">
        <v>-118.31692580000001</v>
      </c>
      <c r="D661" t="s">
        <v>5</v>
      </c>
    </row>
    <row r="662" spans="1:4" x14ac:dyDescent="0.45">
      <c r="A662" t="s">
        <v>664</v>
      </c>
      <c r="B662">
        <v>34.179682999999997</v>
      </c>
      <c r="C662">
        <v>-118.3158298</v>
      </c>
      <c r="D662" t="s">
        <v>5</v>
      </c>
    </row>
    <row r="663" spans="1:4" x14ac:dyDescent="0.45">
      <c r="A663" t="s">
        <v>665</v>
      </c>
      <c r="B663">
        <v>34.184826800000003</v>
      </c>
      <c r="C663">
        <v>-118.31158979999999</v>
      </c>
      <c r="D663" t="str">
        <f>HYPERLINK("https://streetviewpixels-pa.googleapis.com/v1/thumbnail?panoid=af166MGqzPsIAscRxDG7NA&amp;cb_client=search.gws-prod.gps&amp;w=408&amp;h=240&amp;yaw=142.05457&amp;pitch=0&amp;thumbfov=100", "link")</f>
        <v>link</v>
      </c>
    </row>
    <row r="664" spans="1:4" x14ac:dyDescent="0.45">
      <c r="A664" t="s">
        <v>666</v>
      </c>
      <c r="B664">
        <v>34.196170500000001</v>
      </c>
      <c r="C664">
        <v>-118.3478377</v>
      </c>
      <c r="D664" t="str">
        <f>HYPERLINK("https://streetviewpixels-pa.googleapis.com/v1/thumbnail?panoid=tetimTLcIh2HEeGbfKYT_g&amp;cb_client=search.gws-prod.gps&amp;w=408&amp;h=240&amp;yaw=335.05664&amp;pitch=0&amp;thumbfov=100", "link")</f>
        <v>link</v>
      </c>
    </row>
    <row r="665" spans="1:4" x14ac:dyDescent="0.45">
      <c r="A665" t="s">
        <v>667</v>
      </c>
      <c r="B665">
        <v>34.196204100000003</v>
      </c>
      <c r="C665">
        <v>-118.3477659</v>
      </c>
      <c r="D665" t="s">
        <v>5</v>
      </c>
    </row>
    <row r="666" spans="1:4" x14ac:dyDescent="0.45">
      <c r="A666" t="s">
        <v>668</v>
      </c>
      <c r="B666">
        <v>34.197352000000002</v>
      </c>
      <c r="C666">
        <v>-118.34853699999999</v>
      </c>
      <c r="D666" t="str">
        <f>HYPERLINK("https://lh5.googleusercontent.com/p/AF1QipPN6LKB6FGU6zKimYNuzamVFCyRlccB3SGGH5BW=w432-h240-k-no", "link")</f>
        <v>link</v>
      </c>
    </row>
    <row r="667" spans="1:4" x14ac:dyDescent="0.45">
      <c r="A667" t="s">
        <v>669</v>
      </c>
      <c r="B667">
        <v>34.196118400000003</v>
      </c>
      <c r="C667">
        <v>-118.34561600000001</v>
      </c>
      <c r="D667" t="s">
        <v>5</v>
      </c>
    </row>
    <row r="668" spans="1:4" x14ac:dyDescent="0.45">
      <c r="A668" t="s">
        <v>670</v>
      </c>
      <c r="B668">
        <v>34.195335</v>
      </c>
      <c r="C668">
        <v>-118.35116650000001</v>
      </c>
      <c r="D668" t="s">
        <v>5</v>
      </c>
    </row>
    <row r="669" spans="1:4" x14ac:dyDescent="0.45">
      <c r="A669" t="s">
        <v>671</v>
      </c>
      <c r="B669">
        <v>34.195991900000003</v>
      </c>
      <c r="C669">
        <v>-118.3513451</v>
      </c>
      <c r="D669" t="s">
        <v>5</v>
      </c>
    </row>
    <row r="670" spans="1:4" x14ac:dyDescent="0.45">
      <c r="A670" t="s">
        <v>672</v>
      </c>
      <c r="B670">
        <v>34.193345000000001</v>
      </c>
      <c r="C670">
        <v>-118.3494129</v>
      </c>
      <c r="D670" t="str">
        <f>HYPERLINK("https://streetviewpixels-pa.googleapis.com/v1/thumbnail?panoid=K1STPxXkh3dGh639fVd6dA&amp;cb_client=search.gws-prod.gps&amp;w=408&amp;h=240&amp;yaw=203.95828&amp;pitch=0&amp;thumbfov=100", "link")</f>
        <v>link</v>
      </c>
    </row>
    <row r="671" spans="1:4" x14ac:dyDescent="0.45">
      <c r="A671" t="s">
        <v>673</v>
      </c>
      <c r="B671">
        <v>34.199776300000003</v>
      </c>
      <c r="C671">
        <v>-118.3479535</v>
      </c>
      <c r="D671" t="s">
        <v>5</v>
      </c>
    </row>
    <row r="672" spans="1:4" x14ac:dyDescent="0.45">
      <c r="A672" t="s">
        <v>674</v>
      </c>
      <c r="B672">
        <v>34.193219799999902</v>
      </c>
      <c r="C672">
        <v>-118.3449779</v>
      </c>
      <c r="D672" t="str">
        <f>HYPERLINK("https://streetviewpixels-pa.googleapis.com/v1/thumbnail?panoid=TdP49TfW4SZpz4L9Gq5NAQ&amp;cb_client=search.gws-prod.gps&amp;w=408&amp;h=240&amp;yaw=281.1405&amp;pitch=0&amp;thumbfov=100", "link")</f>
        <v>link</v>
      </c>
    </row>
    <row r="673" spans="1:4" x14ac:dyDescent="0.45">
      <c r="A673" t="s">
        <v>675</v>
      </c>
      <c r="B673">
        <v>34.196066000000002</v>
      </c>
      <c r="C673">
        <v>-118.35312140000001</v>
      </c>
      <c r="D673" t="str">
        <f>HYPERLINK("https://streetviewpixels-pa.googleapis.com/v1/thumbnail?panoid=WZrNw_J4aA2k4KvxqP-jaA&amp;cb_client=search.gws-prod.gps&amp;w=408&amp;h=240&amp;yaw=226.29388&amp;pitch=0&amp;thumbfov=100", "link")</f>
        <v>link</v>
      </c>
    </row>
    <row r="674" spans="1:4" x14ac:dyDescent="0.45">
      <c r="A674" t="s">
        <v>676</v>
      </c>
      <c r="B674">
        <v>34.1925253</v>
      </c>
      <c r="C674">
        <v>-118.3510381</v>
      </c>
      <c r="D674" t="str">
        <f>HYPERLINK("https://streetviewpixels-pa.googleapis.com/v1/thumbnail?panoid=LqDkvC1KP0_a0MjI8kQB_A&amp;cb_client=search.gws-prod.gps&amp;w=408&amp;h=240&amp;yaw=183.01427&amp;pitch=0&amp;thumbfov=100", "link")</f>
        <v>link</v>
      </c>
    </row>
    <row r="675" spans="1:4" x14ac:dyDescent="0.45">
      <c r="A675" t="s">
        <v>677</v>
      </c>
      <c r="B675">
        <v>34.195377299999997</v>
      </c>
      <c r="C675">
        <v>-118.353241</v>
      </c>
      <c r="D675" t="str">
        <f>HYPERLINK("https://lh5.googleusercontent.com/p/AF1QipNXbkClhmMloXSaT_1-oYuchLqsw0y8SpG2ZOKH=w408-h408-k-no", "link")</f>
        <v>link</v>
      </c>
    </row>
    <row r="676" spans="1:4" x14ac:dyDescent="0.45">
      <c r="A676" t="s">
        <v>678</v>
      </c>
      <c r="B676">
        <v>34.194421699999999</v>
      </c>
      <c r="C676">
        <v>-118.3531346</v>
      </c>
      <c r="D676" t="s">
        <v>5</v>
      </c>
    </row>
    <row r="677" spans="1:4" x14ac:dyDescent="0.45">
      <c r="A677" t="s">
        <v>679</v>
      </c>
      <c r="B677">
        <v>34.195681499999999</v>
      </c>
      <c r="C677">
        <v>-118.35364060000001</v>
      </c>
      <c r="D677" t="str">
        <f>HYPERLINK("https://streetviewpixels-pa.googleapis.com/v1/thumbnail?panoid=EmL38bsTgqoCgyea9QJ2wg&amp;cb_client=search.gws-prod.gps&amp;w=408&amp;h=240&amp;yaw=229.3316&amp;pitch=0&amp;thumbfov=100", "link")</f>
        <v>link</v>
      </c>
    </row>
    <row r="678" spans="1:4" x14ac:dyDescent="0.45">
      <c r="A678" t="s">
        <v>680</v>
      </c>
      <c r="B678">
        <v>34.192698900000003</v>
      </c>
      <c r="C678">
        <v>-118.35267810000001</v>
      </c>
      <c r="D678" t="s">
        <v>5</v>
      </c>
    </row>
    <row r="679" spans="1:4" x14ac:dyDescent="0.45">
      <c r="A679" t="s">
        <v>681</v>
      </c>
      <c r="B679">
        <v>34.199600500000003</v>
      </c>
      <c r="C679">
        <v>-118.3534879</v>
      </c>
      <c r="D679" t="s">
        <v>5</v>
      </c>
    </row>
    <row r="680" spans="1:4" x14ac:dyDescent="0.45">
      <c r="A680" t="s">
        <v>682</v>
      </c>
      <c r="B680">
        <v>34.193466200000003</v>
      </c>
      <c r="C680">
        <v>-118.3557897</v>
      </c>
      <c r="D680" t="str">
        <f>HYPERLINK("https://lh5.googleusercontent.com/p/AF1QipMqar7w4cDF12W2up0Gfkk_KTok8SNs_5e7N9HD=w408-h306-k-no", "link")</f>
        <v>link</v>
      </c>
    </row>
    <row r="681" spans="1:4" x14ac:dyDescent="0.45">
      <c r="A681" t="s">
        <v>683</v>
      </c>
      <c r="B681">
        <v>34.208330500000002</v>
      </c>
      <c r="C681">
        <v>-118.341629</v>
      </c>
      <c r="D681" t="s">
        <v>5</v>
      </c>
    </row>
    <row r="682" spans="1:4" x14ac:dyDescent="0.45">
      <c r="A682" t="s">
        <v>684</v>
      </c>
      <c r="B682">
        <v>34.207892600000001</v>
      </c>
      <c r="C682">
        <v>-118.3400309</v>
      </c>
      <c r="D682" t="s">
        <v>5</v>
      </c>
    </row>
    <row r="683" spans="1:4" x14ac:dyDescent="0.45">
      <c r="A683" t="s">
        <v>685</v>
      </c>
      <c r="B683">
        <v>34.209961499999999</v>
      </c>
      <c r="C683">
        <v>-118.3424509</v>
      </c>
      <c r="D683" t="s">
        <v>5</v>
      </c>
    </row>
    <row r="684" spans="1:4" x14ac:dyDescent="0.45">
      <c r="A684" t="s">
        <v>686</v>
      </c>
      <c r="B684">
        <v>34.1763622</v>
      </c>
      <c r="C684">
        <v>-118.38097089999999</v>
      </c>
      <c r="D684" t="str">
        <f>HYPERLINK("https://streetviewpixels-pa.googleapis.com/v1/thumbnail?panoid=j8Gehrjkd39HXca_SeW-Tw&amp;cb_client=search.gws-prod.gps&amp;w=408&amp;h=240&amp;yaw=41.764114&amp;pitch=0&amp;thumbfov=100", "link")</f>
        <v>link</v>
      </c>
    </row>
    <row r="685" spans="1:4" x14ac:dyDescent="0.45">
      <c r="A685" t="s">
        <v>687</v>
      </c>
      <c r="B685">
        <v>34.156646500000001</v>
      </c>
      <c r="C685">
        <v>-118.32309050000001</v>
      </c>
      <c r="D685" t="s">
        <v>5</v>
      </c>
    </row>
    <row r="686" spans="1:4" x14ac:dyDescent="0.45">
      <c r="A686" t="s">
        <v>688</v>
      </c>
      <c r="B686">
        <v>34.136997099999903</v>
      </c>
      <c r="C686">
        <v>-118.3502294</v>
      </c>
      <c r="D686" t="str">
        <f>HYPERLINK("https://lh5.googleusercontent.com/p/AF1QipMfW0d0updANf2fKgKDJo_mkGsiz6DjfPpcMM4M=w408-h306-k-no", "link")</f>
        <v>link</v>
      </c>
    </row>
    <row r="687" spans="1:4" x14ac:dyDescent="0.45">
      <c r="A687" t="s">
        <v>689</v>
      </c>
      <c r="B687">
        <v>34.135817299999999</v>
      </c>
      <c r="C687">
        <v>-118.352952</v>
      </c>
      <c r="D687" t="str">
        <f>HYPERLINK("https://lh5.googleusercontent.com/p/AF1QipMKCGdBbhn6DqU7Ncg5A4TiLwaxcM1lYmhS3oBP=w426-h240-k-no", "link")</f>
        <v>link</v>
      </c>
    </row>
    <row r="688" spans="1:4" x14ac:dyDescent="0.45">
      <c r="A688" t="s">
        <v>690</v>
      </c>
      <c r="B688">
        <v>34.152755200000001</v>
      </c>
      <c r="C688">
        <v>-118.3426821</v>
      </c>
      <c r="D688" t="str">
        <f>HYPERLINK("https://streetviewpixels-pa.googleapis.com/v1/thumbnail?panoid=XVDIng45sqCYYo7eT_lq8w&amp;cb_client=search.gws-prod.gps&amp;w=408&amp;h=240&amp;yaw=154.89288&amp;pitch=0&amp;thumbfov=100", "link")</f>
        <v>link</v>
      </c>
    </row>
    <row r="689" spans="1:4" x14ac:dyDescent="0.45">
      <c r="A689" t="s">
        <v>691</v>
      </c>
      <c r="B689">
        <v>34.152664199999997</v>
      </c>
      <c r="C689">
        <v>-118.34281609999999</v>
      </c>
      <c r="D689" t="str">
        <f>HYPERLINK("https://streetviewpixels-pa.googleapis.com/v1/thumbnail?panoid=XVDIng45sqCYYo7eT_lq8w&amp;cb_client=search.gws-prod.gps&amp;w=408&amp;h=240&amp;yaw=154.89288&amp;pitch=0&amp;thumbfov=100", "link")</f>
        <v>link</v>
      </c>
    </row>
    <row r="690" spans="1:4" x14ac:dyDescent="0.45">
      <c r="A690" t="s">
        <v>692</v>
      </c>
      <c r="B690">
        <v>34.152406800000001</v>
      </c>
      <c r="C690">
        <v>-118.34368360000001</v>
      </c>
      <c r="D690" t="s">
        <v>5</v>
      </c>
    </row>
    <row r="691" spans="1:4" x14ac:dyDescent="0.45">
      <c r="A691" t="s">
        <v>693</v>
      </c>
      <c r="B691">
        <v>34.152462900000003</v>
      </c>
      <c r="C691">
        <v>-118.3378696</v>
      </c>
      <c r="D691" t="str">
        <f>HYPERLINK("https://streetviewpixels-pa.googleapis.com/v1/thumbnail?panoid=HGcDn-TKYPdYc5TG9qCfcw&amp;cb_client=search.gws-prod.gps&amp;w=408&amp;h=240&amp;yaw=228.11249&amp;pitch=0&amp;thumbfov=100", "link")</f>
        <v>link</v>
      </c>
    </row>
    <row r="692" spans="1:4" x14ac:dyDescent="0.45">
      <c r="A692" t="s">
        <v>694</v>
      </c>
      <c r="B692">
        <v>34.147332300000002</v>
      </c>
      <c r="C692">
        <v>-118.3427248</v>
      </c>
      <c r="D692" t="str">
        <f>HYPERLINK("https://streetviewpixels-pa.googleapis.com/v1/thumbnail?panoid=L8pjhuCpouGjDhA2hKW0Iw&amp;cb_client=search.gws-prod.gps&amp;w=408&amp;h=240&amp;yaw=269.27832&amp;pitch=0&amp;thumbfov=100", "link")</f>
        <v>link</v>
      </c>
    </row>
    <row r="693" spans="1:4" x14ac:dyDescent="0.45">
      <c r="A693" t="s">
        <v>695</v>
      </c>
      <c r="B693">
        <v>34.151308999999998</v>
      </c>
      <c r="C693">
        <v>-118.3357846</v>
      </c>
      <c r="D693" t="s">
        <v>5</v>
      </c>
    </row>
    <row r="694" spans="1:4" x14ac:dyDescent="0.45">
      <c r="A694" t="s">
        <v>696</v>
      </c>
      <c r="B694">
        <v>34.1518923</v>
      </c>
      <c r="C694">
        <v>-118.3351097</v>
      </c>
      <c r="D694" t="str">
        <f>HYPERLINK("https://streetviewpixels-pa.googleapis.com/v1/thumbnail?panoid=2dtdbHNBy1CcpVG2h23nhQ&amp;cb_client=search.gws-prod.gps&amp;w=408&amp;h=240&amp;yaw=288.0404&amp;pitch=0&amp;thumbfov=100", "link")</f>
        <v>link</v>
      </c>
    </row>
    <row r="695" spans="1:4" x14ac:dyDescent="0.45">
      <c r="A695" t="s">
        <v>697</v>
      </c>
      <c r="B695">
        <v>34.147366099999999</v>
      </c>
      <c r="C695">
        <v>-118.3352369</v>
      </c>
      <c r="D695" t="str">
        <f>HYPERLINK("https://lh5.googleusercontent.com/p/AF1QipNfd53lHOr_b3kqnt18IwjZjChsrmpo5zib6cQV=w408-h544-k-no", "link")</f>
        <v>link</v>
      </c>
    </row>
    <row r="696" spans="1:4" x14ac:dyDescent="0.45">
      <c r="A696" t="s">
        <v>698</v>
      </c>
      <c r="B696">
        <v>34.152663699999998</v>
      </c>
      <c r="C696">
        <v>-118.35318030000001</v>
      </c>
      <c r="D696" t="s">
        <v>5</v>
      </c>
    </row>
    <row r="697" spans="1:4" x14ac:dyDescent="0.45">
      <c r="A697" t="s">
        <v>699</v>
      </c>
      <c r="B697">
        <v>34.152516400000003</v>
      </c>
      <c r="C697">
        <v>-118.3536259</v>
      </c>
      <c r="D697" t="str">
        <f>HYPERLINK("https://streetviewpixels-pa.googleapis.com/v1/thumbnail?panoid=iG2jcXz99l3YyPooiI41cg&amp;cb_client=search.gws-prod.gps&amp;w=408&amp;h=240&amp;yaw=171.09692&amp;pitch=0&amp;thumbfov=100", "link")</f>
        <v>link</v>
      </c>
    </row>
    <row r="698" spans="1:4" x14ac:dyDescent="0.45">
      <c r="A698" t="s">
        <v>700</v>
      </c>
      <c r="B698">
        <v>34.157072599999999</v>
      </c>
      <c r="C698">
        <v>-118.3325148</v>
      </c>
      <c r="D698" t="str">
        <f>HYPERLINK("https://streetviewpixels-pa.googleapis.com/v1/thumbnail?panoid=7hK55g9qzzV46alNP4jiLA&amp;cb_client=search.gws-prod.gps&amp;w=408&amp;h=240&amp;yaw=320.09512&amp;pitch=0&amp;thumbfov=100", "link")</f>
        <v>link</v>
      </c>
    </row>
    <row r="699" spans="1:4" x14ac:dyDescent="0.45">
      <c r="A699" t="s">
        <v>701</v>
      </c>
      <c r="B699">
        <v>34.155384699999999</v>
      </c>
      <c r="C699">
        <v>-118.3301779</v>
      </c>
      <c r="D699" t="str">
        <f>HYPERLINK("https://streetviewpixels-pa.googleapis.com/v1/thumbnail?panoid=7f2QlEOygIMP4JhJB-wJfg&amp;cb_client=search.gws-prod.gps&amp;w=408&amp;h=240&amp;yaw=248.17894&amp;pitch=0&amp;thumbfov=100", "link")</f>
        <v>link</v>
      </c>
    </row>
    <row r="700" spans="1:4" x14ac:dyDescent="0.45">
      <c r="A700" t="s">
        <v>702</v>
      </c>
      <c r="B700">
        <v>34.156746200000001</v>
      </c>
      <c r="C700">
        <v>-118.3306705</v>
      </c>
      <c r="D700" t="str">
        <f>HYPERLINK("https://lh5.googleusercontent.com/p/AF1QipPxn1qid1UiZ-dhsFDWhIQIsE12qPyVQ9-xRn58=w426-h240-k-no", "link")</f>
        <v>link</v>
      </c>
    </row>
    <row r="701" spans="1:4" x14ac:dyDescent="0.45">
      <c r="A701" t="s">
        <v>703</v>
      </c>
      <c r="B701">
        <v>34.140925099999997</v>
      </c>
      <c r="C701">
        <v>-118.338525</v>
      </c>
      <c r="D701" t="str">
        <f>HYPERLINK("https://lh5.googleusercontent.com/p/AF1QipM02eB4wk9O6Yhrv1mVl0s2omB_e4N-40Dr2N-L=w408-h306-k-no", "link")</f>
        <v>link</v>
      </c>
    </row>
    <row r="702" spans="1:4" x14ac:dyDescent="0.45">
      <c r="A702" t="s">
        <v>704</v>
      </c>
      <c r="B702">
        <v>34.159771899999903</v>
      </c>
      <c r="C702">
        <v>-118.3303966</v>
      </c>
      <c r="D702" t="str">
        <f>HYPERLINK("https://streetviewpixels-pa.googleapis.com/v1/thumbnail?panoid=d-FpofumAq6SovUQmQS4LQ&amp;cb_client=search.gws-prod.gps&amp;w=408&amp;h=240&amp;yaw=133.76184&amp;pitch=0&amp;thumbfov=100", "link")</f>
        <v>link</v>
      </c>
    </row>
    <row r="703" spans="1:4" x14ac:dyDescent="0.45">
      <c r="A703" t="s">
        <v>705</v>
      </c>
      <c r="B703">
        <v>34.159771900000003</v>
      </c>
      <c r="C703">
        <v>-118.33039650000001</v>
      </c>
      <c r="D703" t="str">
        <f>HYPERLINK("https://streetviewpixels-pa.googleapis.com/v1/thumbnail?panoid=d-FpofumAq6SovUQmQS4LQ&amp;cb_client=search.gws-prod.gps&amp;w=408&amp;h=240&amp;yaw=133.76184&amp;pitch=0&amp;thumbfov=100", "link")</f>
        <v>link</v>
      </c>
    </row>
    <row r="704" spans="1:4" x14ac:dyDescent="0.45">
      <c r="A704" t="s">
        <v>706</v>
      </c>
      <c r="B704">
        <v>34.1596324</v>
      </c>
      <c r="C704">
        <v>-118.33011569999999</v>
      </c>
      <c r="D704" t="str">
        <f>HYPERLINK("https://streetviewpixels-pa.googleapis.com/v1/thumbnail?panoid=d-FpofumAq6SovUQmQS4LQ&amp;cb_client=search.gws-prod.gps&amp;w=408&amp;h=240&amp;yaw=133.76184&amp;pitch=0&amp;thumbfov=100", "link")</f>
        <v>link</v>
      </c>
    </row>
    <row r="705" spans="1:4" x14ac:dyDescent="0.45">
      <c r="A705" t="s">
        <v>707</v>
      </c>
      <c r="B705">
        <v>34.162320600000001</v>
      </c>
      <c r="C705">
        <v>-118.32937339999999</v>
      </c>
      <c r="D705" t="str">
        <f>HYPERLINK("https://streetviewpixels-pa.googleapis.com/v1/thumbnail?panoid=41QX1bBNgrIu-rqT_cuhCg&amp;cb_client=search.gws-prod.gps&amp;w=408&amp;h=240&amp;yaw=159.87436&amp;pitch=0&amp;thumbfov=100", "link")</f>
        <v>link</v>
      </c>
    </row>
    <row r="706" spans="1:4" x14ac:dyDescent="0.45">
      <c r="A706" t="s">
        <v>708</v>
      </c>
      <c r="B706">
        <v>34.156355699999999</v>
      </c>
      <c r="C706">
        <v>-118.32321930000001</v>
      </c>
      <c r="D706" t="s">
        <v>5</v>
      </c>
    </row>
    <row r="707" spans="1:4" x14ac:dyDescent="0.45">
      <c r="A707" t="s">
        <v>709</v>
      </c>
      <c r="B707">
        <v>34.1567042</v>
      </c>
      <c r="C707">
        <v>-118.3231344</v>
      </c>
      <c r="D707" t="s">
        <v>5</v>
      </c>
    </row>
    <row r="708" spans="1:4" x14ac:dyDescent="0.45">
      <c r="A708" t="s">
        <v>710</v>
      </c>
      <c r="B708">
        <v>34.179494200000001</v>
      </c>
      <c r="C708">
        <v>-118.3088557</v>
      </c>
      <c r="D708" t="str">
        <f>HYPERLINK("https://streetviewpixels-pa.googleapis.com/v1/thumbnail?panoid=UIAkLvDT99WZsJ53I1CxNQ&amp;cb_client=search.gws-prod.gps&amp;w=408&amp;h=240&amp;yaw=156.672&amp;pitch=0&amp;thumbfov=100", "link")</f>
        <v>link</v>
      </c>
    </row>
    <row r="709" spans="1:4" x14ac:dyDescent="0.45">
      <c r="A709" t="s">
        <v>711</v>
      </c>
      <c r="B709">
        <v>34.184420899999999</v>
      </c>
      <c r="C709">
        <v>-118.3046454</v>
      </c>
      <c r="D709" t="str">
        <f>HYPERLINK("https://streetviewpixels-pa.googleapis.com/v1/thumbnail?panoid=HVU4WuNtJeaD4WDGRgM7TA&amp;cb_client=search.gws-prod.gps&amp;w=408&amp;h=240&amp;yaw=134.78732&amp;pitch=0&amp;thumbfov=100", "link")</f>
        <v>link</v>
      </c>
    </row>
    <row r="710" spans="1:4" x14ac:dyDescent="0.45">
      <c r="A710" t="s">
        <v>712</v>
      </c>
      <c r="B710">
        <v>34.179575100000001</v>
      </c>
      <c r="C710">
        <v>-118.3096001</v>
      </c>
      <c r="D710" t="str">
        <f>HYPERLINK("https://streetviewpixels-pa.googleapis.com/v1/thumbnail?panoid=B0piOo-NmgtS39QAa_1hJw&amp;cb_client=search.gws-prod.gps&amp;w=408&amp;h=240&amp;yaw=189.24956&amp;pitch=0&amp;thumbfov=100", "link")</f>
        <v>link</v>
      </c>
    </row>
    <row r="711" spans="1:4" x14ac:dyDescent="0.45">
      <c r="A711" t="s">
        <v>713</v>
      </c>
      <c r="B711">
        <v>34.180965999999998</v>
      </c>
      <c r="C711">
        <v>-118.311469</v>
      </c>
      <c r="D711" t="s">
        <v>5</v>
      </c>
    </row>
    <row r="712" spans="1:4" x14ac:dyDescent="0.45">
      <c r="A712" t="s">
        <v>714</v>
      </c>
      <c r="B712">
        <v>34.181904799999998</v>
      </c>
      <c r="C712">
        <v>-118.31198879999999</v>
      </c>
      <c r="D712" t="str">
        <f>HYPERLINK("https://streetviewpixels-pa.googleapis.com/v1/thumbnail?panoid=YTxYp2Sc8Ov59xH32pbtCQ&amp;cb_client=search.gws-prod.gps&amp;w=408&amp;h=240&amp;yaw=169.19122&amp;pitch=0&amp;thumbfov=100", "link")</f>
        <v>link</v>
      </c>
    </row>
    <row r="713" spans="1:4" x14ac:dyDescent="0.45">
      <c r="A713" t="s">
        <v>715</v>
      </c>
      <c r="B713">
        <v>34.185035300000003</v>
      </c>
      <c r="C713">
        <v>-118.3108775</v>
      </c>
      <c r="D713" t="str">
        <f>HYPERLINK("https://streetviewpixels-pa.googleapis.com/v1/thumbnail?panoid=L68lQ4WaP9jpY8hfppfabA&amp;cb_client=search.gws-prod.gps&amp;w=408&amp;h=240&amp;yaw=120.56544&amp;pitch=0&amp;thumbfov=100", "link")</f>
        <v>link</v>
      </c>
    </row>
    <row r="714" spans="1:4" x14ac:dyDescent="0.45">
      <c r="A714" t="s">
        <v>716</v>
      </c>
      <c r="B714">
        <v>34.178958399999999</v>
      </c>
      <c r="C714">
        <v>-118.31015189999999</v>
      </c>
      <c r="D714" t="str">
        <f>HYPERLINK("https://streetviewpixels-pa.googleapis.com/v1/thumbnail?panoid=aePi4BOSZontLLpEQIGpvQ&amp;cb_client=search.gws-prod.gps&amp;w=408&amp;h=240&amp;yaw=48.56749&amp;pitch=0&amp;thumbfov=100", "link")</f>
        <v>link</v>
      </c>
    </row>
    <row r="715" spans="1:4" x14ac:dyDescent="0.45">
      <c r="A715" t="s">
        <v>717</v>
      </c>
      <c r="B715">
        <v>34.178076599999898</v>
      </c>
      <c r="C715">
        <v>-118.3068569</v>
      </c>
      <c r="D715" t="str">
        <f>HYPERLINK("https://streetviewpixels-pa.googleapis.com/v1/thumbnail?panoid=XlxCpFO7zhqnFXL43aibRQ&amp;cb_client=search.gws-prod.gps&amp;w=408&amp;h=240&amp;yaw=325.0607&amp;pitch=0&amp;thumbfov=100", "link")</f>
        <v>link</v>
      </c>
    </row>
    <row r="716" spans="1:4" x14ac:dyDescent="0.45">
      <c r="A716" t="s">
        <v>718</v>
      </c>
      <c r="B716">
        <v>34.178053499999898</v>
      </c>
      <c r="C716">
        <v>-118.304357</v>
      </c>
      <c r="D716" t="str">
        <f>HYPERLINK("https://streetviewpixels-pa.googleapis.com/v1/thumbnail?panoid=l42bjg_Vou7nKeTBlMMr0w&amp;cb_client=search.gws-prod.gps&amp;w=408&amp;h=240&amp;yaw=42.265972&amp;pitch=0&amp;thumbfov=100", "link")</f>
        <v>link</v>
      </c>
    </row>
    <row r="717" spans="1:4" x14ac:dyDescent="0.45">
      <c r="A717" t="s">
        <v>719</v>
      </c>
      <c r="B717">
        <v>34.177590299999999</v>
      </c>
      <c r="C717">
        <v>-118.3103042</v>
      </c>
      <c r="D717" t="s">
        <v>5</v>
      </c>
    </row>
    <row r="718" spans="1:4" x14ac:dyDescent="0.45">
      <c r="A718" t="s">
        <v>720</v>
      </c>
      <c r="B718">
        <v>34.177614900000002</v>
      </c>
      <c r="C718">
        <v>-118.3103794</v>
      </c>
      <c r="D718" t="s">
        <v>5</v>
      </c>
    </row>
    <row r="719" spans="1:4" x14ac:dyDescent="0.45">
      <c r="A719" t="s">
        <v>721</v>
      </c>
      <c r="B719">
        <v>34.180077699999998</v>
      </c>
      <c r="C719">
        <v>-118.3137748</v>
      </c>
      <c r="D719" t="s">
        <v>5</v>
      </c>
    </row>
    <row r="720" spans="1:4" x14ac:dyDescent="0.45">
      <c r="A720" t="s">
        <v>722</v>
      </c>
      <c r="B720">
        <v>34.178491299999997</v>
      </c>
      <c r="C720">
        <v>-118.3127702</v>
      </c>
      <c r="D720" t="s">
        <v>5</v>
      </c>
    </row>
    <row r="721" spans="1:4" x14ac:dyDescent="0.45">
      <c r="A721" t="s">
        <v>723</v>
      </c>
      <c r="B721">
        <v>34.189572499999997</v>
      </c>
      <c r="C721">
        <v>-118.3069704</v>
      </c>
      <c r="D721" t="s">
        <v>5</v>
      </c>
    </row>
    <row r="722" spans="1:4" x14ac:dyDescent="0.45">
      <c r="A722" t="s">
        <v>724</v>
      </c>
      <c r="B722">
        <v>34.182422899999999</v>
      </c>
      <c r="C722">
        <v>-118.3076313</v>
      </c>
      <c r="D722" t="str">
        <f>HYPERLINK("https://streetviewpixels-pa.googleapis.com/v1/thumbnail?panoid=KBkAoE9nNknVQz_madxvbw&amp;cb_client=search.gws-prod.gps&amp;w=408&amp;h=240&amp;yaw=315.9535&amp;pitch=0&amp;thumbfov=100", "link")</f>
        <v>link</v>
      </c>
    </row>
    <row r="723" spans="1:4" x14ac:dyDescent="0.45">
      <c r="A723" t="s">
        <v>725</v>
      </c>
      <c r="B723">
        <v>34.182925399999903</v>
      </c>
      <c r="C723">
        <v>-118.3073303</v>
      </c>
      <c r="D723" t="str">
        <f>HYPERLINK("https://streetviewpixels-pa.googleapis.com/v1/thumbnail?panoid=nb3v4b5HFLmpgxsVeGNvzQ&amp;cb_client=search.gws-prod.gps&amp;w=408&amp;h=240&amp;yaw=239.3818&amp;pitch=0&amp;thumbfov=100", "link")</f>
        <v>link</v>
      </c>
    </row>
    <row r="724" spans="1:4" x14ac:dyDescent="0.45">
      <c r="A724" t="s">
        <v>726</v>
      </c>
      <c r="B724">
        <v>34.182326600000003</v>
      </c>
      <c r="C724">
        <v>-118.3084771</v>
      </c>
      <c r="D724" t="str">
        <f>HYPERLINK("https://streetviewpixels-pa.googleapis.com/v1/thumbnail?panoid=GCooz845q6z-ULcbmAKe8A&amp;cb_client=search.gws-prod.gps&amp;w=408&amp;h=240&amp;yaw=154.78816&amp;pitch=0&amp;thumbfov=100", "link")</f>
        <v>link</v>
      </c>
    </row>
    <row r="725" spans="1:4" x14ac:dyDescent="0.45">
      <c r="A725" t="s">
        <v>727</v>
      </c>
      <c r="B725">
        <v>34.183253200000003</v>
      </c>
      <c r="C725">
        <v>-118.3068598</v>
      </c>
      <c r="D725" t="str">
        <f>HYPERLINK("https://streetviewpixels-pa.googleapis.com/v1/thumbnail?panoid=bZ6JGTbP699LNT_uvpqDZA&amp;cb_client=search.gws-prod.gps&amp;w=408&amp;h=240&amp;yaw=67.86491&amp;pitch=0&amp;thumbfov=100", "link")</f>
        <v>link</v>
      </c>
    </row>
    <row r="726" spans="1:4" x14ac:dyDescent="0.45">
      <c r="A726" t="s">
        <v>728</v>
      </c>
      <c r="B726">
        <v>34.182075099999999</v>
      </c>
      <c r="C726">
        <v>-118.30882819999999</v>
      </c>
      <c r="D726" t="str">
        <f>HYPERLINK("https://streetviewpixels-pa.googleapis.com/v1/thumbnail?panoid=6U7W4pG7B0vhYohCDLxyyA&amp;cb_client=search.gws-prod.gps&amp;w=408&amp;h=240&amp;yaw=325.55014&amp;pitch=0&amp;thumbfov=100", "link")</f>
        <v>link</v>
      </c>
    </row>
    <row r="727" spans="1:4" x14ac:dyDescent="0.45">
      <c r="A727" t="s">
        <v>729</v>
      </c>
      <c r="B727">
        <v>34.181618800000003</v>
      </c>
      <c r="C727">
        <v>-118.3086045</v>
      </c>
      <c r="D727" t="str">
        <f>HYPERLINK("https://streetviewpixels-pa.googleapis.com/v1/thumbnail?panoid=IBdTAT5kIiULUJeLZ-zrGg&amp;cb_client=search.gws-prod.gps&amp;w=408&amp;h=240&amp;yaw=320.82196&amp;pitch=0&amp;thumbfov=100", "link")</f>
        <v>link</v>
      </c>
    </row>
    <row r="728" spans="1:4" x14ac:dyDescent="0.45">
      <c r="A728" t="s">
        <v>730</v>
      </c>
      <c r="B728">
        <v>34.1835874</v>
      </c>
      <c r="C728">
        <v>-118.3078687</v>
      </c>
      <c r="D728" t="s">
        <v>5</v>
      </c>
    </row>
    <row r="729" spans="1:4" x14ac:dyDescent="0.45">
      <c r="A729" t="s">
        <v>731</v>
      </c>
      <c r="B729">
        <v>34.1828012</v>
      </c>
      <c r="C729">
        <v>-118.3090243</v>
      </c>
      <c r="D729" t="str">
        <f>HYPERLINK("https://streetviewpixels-pa.googleapis.com/v1/thumbnail?panoid=nAqu9551VzERrsMWr88qKQ&amp;cb_client=search.gws-prod.gps&amp;w=408&amp;h=240&amp;yaw=77.329666&amp;pitch=0&amp;thumbfov=100", "link")</f>
        <v>link</v>
      </c>
    </row>
    <row r="730" spans="1:4" x14ac:dyDescent="0.45">
      <c r="A730" t="s">
        <v>732</v>
      </c>
      <c r="B730">
        <v>34.182234000000001</v>
      </c>
      <c r="C730">
        <v>-118.3091232</v>
      </c>
      <c r="D730" t="str">
        <f>HYPERLINK("https://streetviewpixels-pa.googleapis.com/v1/thumbnail?panoid=6U7W4pG7B0vhYohCDLxyyA&amp;cb_client=search.gws-prod.gps&amp;w=408&amp;h=240&amp;yaw=325.55014&amp;pitch=0&amp;thumbfov=100", "link")</f>
        <v>link</v>
      </c>
    </row>
    <row r="731" spans="1:4" x14ac:dyDescent="0.45">
      <c r="A731" t="s">
        <v>733</v>
      </c>
      <c r="B731">
        <v>34.183715900000003</v>
      </c>
      <c r="C731">
        <v>-118.3072181</v>
      </c>
      <c r="D731" t="str">
        <f>HYPERLINK("https://streetviewpixels-pa.googleapis.com/v1/thumbnail?panoid=dMk3TRwbq6u39LNEjTpmog&amp;cb_client=search.gws-prod.gps&amp;w=408&amp;h=240&amp;yaw=85.205345&amp;pitch=0&amp;thumbfov=100", "link")</f>
        <v>link</v>
      </c>
    </row>
    <row r="732" spans="1:4" x14ac:dyDescent="0.45">
      <c r="A732" t="s">
        <v>734</v>
      </c>
      <c r="B732">
        <v>34.183665900000001</v>
      </c>
      <c r="C732">
        <v>-118.3063772</v>
      </c>
      <c r="D732" t="str">
        <f>HYPERLINK("https://streetviewpixels-pa.googleapis.com/v1/thumbnail?panoid=cIAthdVxHNH_kCYrvcjRyg&amp;cb_client=search.gws-prod.gps&amp;w=408&amp;h=240&amp;yaw=71.5244&amp;pitch=0&amp;thumbfov=100", "link")</f>
        <v>link</v>
      </c>
    </row>
    <row r="733" spans="1:4" x14ac:dyDescent="0.45">
      <c r="A733" t="s">
        <v>735</v>
      </c>
      <c r="B733">
        <v>34.183975699999998</v>
      </c>
      <c r="C733">
        <v>-118.3083111</v>
      </c>
      <c r="D733" t="str">
        <f>HYPERLINK("https://streetviewpixels-pa.googleapis.com/v1/thumbnail?panoid=yLhYrm44xFKezBYp7sJL1A&amp;cb_client=search.gws-prod.gps&amp;w=408&amp;h=240&amp;yaw=112.54952&amp;pitch=0&amp;thumbfov=100", "link")</f>
        <v>link</v>
      </c>
    </row>
    <row r="734" spans="1:4" x14ac:dyDescent="0.45">
      <c r="A734" t="s">
        <v>736</v>
      </c>
      <c r="B734">
        <v>34.182692199999998</v>
      </c>
      <c r="C734">
        <v>-118.31013900000001</v>
      </c>
      <c r="D734" t="str">
        <f>HYPERLINK("https://streetviewpixels-pa.googleapis.com/v1/thumbnail?panoid=uyY4rXntEVSFqIiGkQPdfA&amp;cb_client=search.gws-prod.gps&amp;w=408&amp;h=240&amp;yaw=149.51698&amp;pitch=0&amp;thumbfov=100", "link")</f>
        <v>link</v>
      </c>
    </row>
    <row r="735" spans="1:4" x14ac:dyDescent="0.45">
      <c r="A735" t="s">
        <v>737</v>
      </c>
      <c r="B735">
        <v>34.183210600000002</v>
      </c>
      <c r="C735">
        <v>-118.3100736</v>
      </c>
      <c r="D735" t="str">
        <f>HYPERLINK("https://streetviewpixels-pa.googleapis.com/v1/thumbnail?panoid=grS-04BIEHHOQjeqtmejRg&amp;cb_client=search.gws-prod.gps&amp;w=408&amp;h=240&amp;yaw=320.55563&amp;pitch=0&amp;thumbfov=100", "link")</f>
        <v>link</v>
      </c>
    </row>
    <row r="736" spans="1:4" x14ac:dyDescent="0.45">
      <c r="A736" t="s">
        <v>738</v>
      </c>
      <c r="B736">
        <v>34.184161199999998</v>
      </c>
      <c r="C736">
        <v>-118.30925430000001</v>
      </c>
      <c r="D736" t="str">
        <f>HYPERLINK("https://streetviewpixels-pa.googleapis.com/v1/thumbnail?panoid=vD0lhs1CrH_uJE9HeAbJtA&amp;cb_client=search.gws-prod.gps&amp;w=408&amp;h=240&amp;yaw=312.0372&amp;pitch=0&amp;thumbfov=100", "link")</f>
        <v>link</v>
      </c>
    </row>
    <row r="737" spans="1:4" x14ac:dyDescent="0.45">
      <c r="A737" t="s">
        <v>739</v>
      </c>
      <c r="B737">
        <v>34.184668799999997</v>
      </c>
      <c r="C737">
        <v>-118.30884279999999</v>
      </c>
      <c r="D737" t="str">
        <f>HYPERLINK("https://streetviewpixels-pa.googleapis.com/v1/thumbnail?panoid=rR1qa1PRpl3aCutU9Nfc2g&amp;cb_client=search.gws-prod.gps&amp;w=408&amp;h=240&amp;yaw=231.18272&amp;pitch=0&amp;thumbfov=100", "link")</f>
        <v>link</v>
      </c>
    </row>
    <row r="738" spans="1:4" x14ac:dyDescent="0.45">
      <c r="A738" t="s">
        <v>740</v>
      </c>
      <c r="B738">
        <v>34.1808361</v>
      </c>
      <c r="C738">
        <v>-118.31012800000001</v>
      </c>
      <c r="D738" t="str">
        <f>HYPERLINK("https://streetviewpixels-pa.googleapis.com/v1/thumbnail?panoid=S-n0nkhx3gdxzJonBnOclw&amp;cb_client=search.gws-prod.gps&amp;w=408&amp;h=240&amp;yaw=211.16565&amp;pitch=0&amp;thumbfov=100", "link")</f>
        <v>link</v>
      </c>
    </row>
    <row r="739" spans="1:4" x14ac:dyDescent="0.45">
      <c r="A739" t="s">
        <v>741</v>
      </c>
      <c r="B739">
        <v>34.179822000000001</v>
      </c>
      <c r="C739">
        <v>-118.30848810000001</v>
      </c>
      <c r="D739" t="str">
        <f>HYPERLINK("https://streetviewpixels-pa.googleapis.com/v1/thumbnail?panoid=kuRvs9Q1XJrSsgcDQ_sZMQ&amp;cb_client=search.gws-prod.gps&amp;w=408&amp;h=240&amp;yaw=275.80304&amp;pitch=0&amp;thumbfov=100", "link")</f>
        <v>link</v>
      </c>
    </row>
    <row r="740" spans="1:4" x14ac:dyDescent="0.45">
      <c r="A740" t="s">
        <v>742</v>
      </c>
      <c r="B740">
        <v>34.181203600000003</v>
      </c>
      <c r="C740">
        <v>-118.3106583</v>
      </c>
      <c r="D740" t="str">
        <f>HYPERLINK("https://streetviewpixels-pa.googleapis.com/v1/thumbnail?panoid=DWk-zZjbCQl9bR3mGhFTQQ&amp;cb_client=search.gws-prod.gps&amp;w=408&amp;h=240&amp;yaw=250.06946&amp;pitch=0&amp;thumbfov=100", "link")</f>
        <v>link</v>
      </c>
    </row>
    <row r="741" spans="1:4" x14ac:dyDescent="0.45">
      <c r="A741" t="s">
        <v>743</v>
      </c>
      <c r="B741">
        <v>34.184754099999999</v>
      </c>
      <c r="C741">
        <v>-118.3097128</v>
      </c>
      <c r="D741" t="str">
        <f>HYPERLINK("https://streetviewpixels-pa.googleapis.com/v1/thumbnail?panoid=M2GDh9X9cdJInmQ_sCJcFA&amp;cb_client=search.gws-prod.gps&amp;w=408&amp;h=240&amp;yaw=132.11487&amp;pitch=0&amp;thumbfov=100", "link")</f>
        <v>link</v>
      </c>
    </row>
    <row r="742" spans="1:4" x14ac:dyDescent="0.45">
      <c r="A742" t="s">
        <v>744</v>
      </c>
      <c r="B742">
        <v>34.187852499999998</v>
      </c>
      <c r="C742">
        <v>-118.3874186</v>
      </c>
      <c r="D742" t="str">
        <f>HYPERLINK("https://streetviewpixels-pa.googleapis.com/v1/thumbnail?panoid=9wmmxAZ27mRxW1kX98wv9A&amp;cb_client=search.gws-prod.gps&amp;w=408&amp;h=240&amp;yaw=33.94891&amp;pitch=0&amp;thumbfov=100", "link")</f>
        <v>link</v>
      </c>
    </row>
    <row r="743" spans="1:4" x14ac:dyDescent="0.45">
      <c r="A743" t="s">
        <v>745</v>
      </c>
      <c r="B743">
        <v>34.168303899999998</v>
      </c>
      <c r="C743">
        <v>-118.3722176</v>
      </c>
      <c r="D743" t="s">
        <v>5</v>
      </c>
    </row>
    <row r="744" spans="1:4" x14ac:dyDescent="0.45">
      <c r="A744" t="s">
        <v>746</v>
      </c>
      <c r="B744">
        <v>34.169567299999997</v>
      </c>
      <c r="C744">
        <v>-118.37577829999999</v>
      </c>
      <c r="D744" t="str">
        <f>HYPERLINK("https://lh5.googleusercontent.com/p/AF1QipOXsoloe15B6NMENoZyLc9Ptj_lTVcoyLKZmU00=w408-h306-k-no", "link")</f>
        <v>link</v>
      </c>
    </row>
    <row r="745" spans="1:4" x14ac:dyDescent="0.45">
      <c r="A745" t="s">
        <v>747</v>
      </c>
      <c r="B745">
        <v>34.169436500000003</v>
      </c>
      <c r="C745">
        <v>-118.3757504</v>
      </c>
      <c r="D745" t="str">
        <f>HYPERLINK("https://lh5.googleusercontent.com/p/AF1QipOXsoloe15B6NMENoZyLc9Ptj_lTVcoyLKZmU00=w408-h306-k-no", "link")</f>
        <v>link</v>
      </c>
    </row>
    <row r="746" spans="1:4" x14ac:dyDescent="0.45">
      <c r="A746" t="s">
        <v>748</v>
      </c>
      <c r="B746">
        <v>34.168003300000002</v>
      </c>
      <c r="C746">
        <v>-118.3733361</v>
      </c>
      <c r="D746" t="s">
        <v>5</v>
      </c>
    </row>
    <row r="747" spans="1:4" x14ac:dyDescent="0.45">
      <c r="A747" t="s">
        <v>749</v>
      </c>
      <c r="B747">
        <v>34.168358400000002</v>
      </c>
      <c r="C747">
        <v>-118.3748654</v>
      </c>
      <c r="D747" t="s">
        <v>5</v>
      </c>
    </row>
    <row r="748" spans="1:4" x14ac:dyDescent="0.45">
      <c r="A748" t="s">
        <v>750</v>
      </c>
      <c r="B748">
        <v>34.168624800000003</v>
      </c>
      <c r="C748">
        <v>-118.37658380000001</v>
      </c>
      <c r="D748" t="s">
        <v>5</v>
      </c>
    </row>
    <row r="749" spans="1:4" x14ac:dyDescent="0.45">
      <c r="A749" t="s">
        <v>751</v>
      </c>
      <c r="B749">
        <v>34.165151799999997</v>
      </c>
      <c r="C749">
        <v>-118.36874450000001</v>
      </c>
      <c r="D749" t="str">
        <f>HYPERLINK("https://streetviewpixels-pa.googleapis.com/v1/thumbnail?panoid=JiE_81n_zaq8QskXkuExog&amp;cb_client=search.gws-prod.gps&amp;w=408&amp;h=240&amp;yaw=178.53711&amp;pitch=0&amp;thumbfov=100", "link")</f>
        <v>link</v>
      </c>
    </row>
    <row r="750" spans="1:4" x14ac:dyDescent="0.45">
      <c r="A750" t="s">
        <v>752</v>
      </c>
      <c r="B750">
        <v>34.167535999999998</v>
      </c>
      <c r="C750">
        <v>-118.37559570000001</v>
      </c>
      <c r="D750" t="str">
        <f>HYPERLINK("https://streetviewpixels-pa.googleapis.com/v1/thumbnail?panoid=lf9CRtucbP9zK4m9chqIaQ&amp;cb_client=search.gws-prod.gps&amp;w=408&amp;h=240&amp;yaw=138.94174&amp;pitch=0&amp;thumbfov=100", "link")</f>
        <v>link</v>
      </c>
    </row>
    <row r="751" spans="1:4" x14ac:dyDescent="0.45">
      <c r="A751" t="s">
        <v>753</v>
      </c>
      <c r="B751">
        <v>34.1667348</v>
      </c>
      <c r="C751">
        <v>-118.3741373</v>
      </c>
      <c r="D751" t="str">
        <f>HYPERLINK("https://streetviewpixels-pa.googleapis.com/v1/thumbnail?panoid=ZnBtENjll7_S-FC18RuRmg&amp;cb_client=search.gws-prod.gps&amp;w=408&amp;h=240&amp;yaw=190.75423&amp;pitch=0&amp;thumbfov=100", "link")</f>
        <v>link</v>
      </c>
    </row>
    <row r="752" spans="1:4" x14ac:dyDescent="0.45">
      <c r="A752" t="s">
        <v>754</v>
      </c>
      <c r="B752">
        <v>34.174965800000003</v>
      </c>
      <c r="C752">
        <v>-118.3001732</v>
      </c>
      <c r="D752" t="str">
        <f>HYPERLINK("https://streetviewpixels-pa.googleapis.com/v1/thumbnail?panoid=OPpHSyOxgV3gSO26jj1QoA&amp;cb_client=search.gws-prod.gps&amp;w=408&amp;h=240&amp;yaw=40.00234&amp;pitch=0&amp;thumbfov=100", "link")</f>
        <v>link</v>
      </c>
    </row>
    <row r="753" spans="1:4" x14ac:dyDescent="0.45">
      <c r="A753" t="s">
        <v>755</v>
      </c>
      <c r="B753">
        <v>34.222647899999998</v>
      </c>
      <c r="C753">
        <v>-118.3723097</v>
      </c>
      <c r="D753" t="s">
        <v>5</v>
      </c>
    </row>
    <row r="754" spans="1:4" x14ac:dyDescent="0.45">
      <c r="A754" t="s">
        <v>756</v>
      </c>
      <c r="B754">
        <v>34.222672299999999</v>
      </c>
      <c r="C754">
        <v>-118.37230889999999</v>
      </c>
      <c r="D754" t="s">
        <v>5</v>
      </c>
    </row>
    <row r="755" spans="1:4" x14ac:dyDescent="0.45">
      <c r="A755" t="s">
        <v>757</v>
      </c>
      <c r="B755">
        <v>34.159647999999997</v>
      </c>
      <c r="C755">
        <v>-118.3087058</v>
      </c>
      <c r="D755" t="s">
        <v>5</v>
      </c>
    </row>
    <row r="756" spans="1:4" x14ac:dyDescent="0.45">
      <c r="A756" t="s">
        <v>758</v>
      </c>
      <c r="B756">
        <v>34.177973799999997</v>
      </c>
      <c r="C756">
        <v>-118.6053917</v>
      </c>
      <c r="D756" t="str">
        <f>HYPERLINK("https://streetviewpixels-pa.googleapis.com/v1/thumbnail?panoid=fdrN6OiQhShwCF96_GwRew&amp;cb_client=search.gws-prod.gps&amp;w=408&amp;h=240&amp;yaw=24.008036&amp;pitch=0&amp;thumbfov=100", "link")</f>
        <v>link</v>
      </c>
    </row>
    <row r="757" spans="1:4" x14ac:dyDescent="0.45">
      <c r="A757" t="s">
        <v>759</v>
      </c>
      <c r="B757">
        <v>34.172524799999998</v>
      </c>
      <c r="C757">
        <v>-118.602237</v>
      </c>
      <c r="D757" t="str">
        <f>HYPERLINK("https://streetviewpixels-pa.googleapis.com/v1/thumbnail?panoid=j_GOIDHgBCW5ZRPo9XNO-g&amp;cb_client=search.gws-prod.gps&amp;w=408&amp;h=240&amp;yaw=8.548022&amp;pitch=0&amp;thumbfov=100", "link")</f>
        <v>link</v>
      </c>
    </row>
    <row r="758" spans="1:4" x14ac:dyDescent="0.45">
      <c r="A758" t="s">
        <v>760</v>
      </c>
      <c r="B758">
        <v>34.139698999999901</v>
      </c>
      <c r="C758">
        <v>-118.6013439</v>
      </c>
      <c r="D758" t="str">
        <f>HYPERLINK("https://lh5.googleusercontent.com/p/AF1QipOhYekmyI02UV0Ct0FGyHoXI0Q6Ep3o3W0p5MDE=w426-h240-k-no", "link")</f>
        <v>link</v>
      </c>
    </row>
    <row r="759" spans="1:4" x14ac:dyDescent="0.45">
      <c r="A759" t="s">
        <v>761</v>
      </c>
      <c r="B759">
        <v>34.139562300000001</v>
      </c>
      <c r="C759">
        <v>-118.60085840000001</v>
      </c>
      <c r="D759" t="str">
        <f>HYPERLINK("https://lh5.googleusercontent.com/p/AF1QipMulM-OzWYJGMsQdEPLQLFEzIx46QkNTrNX9SYd=w426-h240-k-no", "link")</f>
        <v>link</v>
      </c>
    </row>
    <row r="760" spans="1:4" x14ac:dyDescent="0.45">
      <c r="A760" t="s">
        <v>762</v>
      </c>
      <c r="B760">
        <v>34.17747</v>
      </c>
      <c r="C760">
        <v>-118.60282479999999</v>
      </c>
      <c r="D760" t="str">
        <f>HYPERLINK("https://streetviewpixels-pa.googleapis.com/v1/thumbnail?panoid=sJIt_xYZuUAF-NyrmuaOnA&amp;cb_client=search.gws-prod.gps&amp;w=408&amp;h=240&amp;yaw=51.270515&amp;pitch=0&amp;thumbfov=100", "link")</f>
        <v>link</v>
      </c>
    </row>
    <row r="761" spans="1:4" x14ac:dyDescent="0.45">
      <c r="A761" t="s">
        <v>763</v>
      </c>
      <c r="B761">
        <v>34.177756600000002</v>
      </c>
      <c r="C761">
        <v>-118.6022285</v>
      </c>
      <c r="D761" t="str">
        <f>HYPERLINK("https://streetviewpixels-pa.googleapis.com/v1/thumbnail?panoid=SbbT1Gy3wHzcFa7MHhD6Yw&amp;cb_client=search.gws-prod.gps&amp;w=408&amp;h=240&amp;yaw=0.23393957&amp;pitch=0&amp;thumbfov=100", "link")</f>
        <v>link</v>
      </c>
    </row>
    <row r="762" spans="1:4" x14ac:dyDescent="0.45">
      <c r="A762" t="s">
        <v>764</v>
      </c>
      <c r="B762">
        <v>34.177991299999903</v>
      </c>
      <c r="C762">
        <v>-118.6012817</v>
      </c>
      <c r="D762" t="str">
        <f>HYPERLINK("https://lh5.googleusercontent.com/p/AF1QipMQwGawaDPYn9M2XjUigo4yDyBLfkB-br7fJibG=w408-h306-k-no", "link")</f>
        <v>link</v>
      </c>
    </row>
    <row r="763" spans="1:4" x14ac:dyDescent="0.45">
      <c r="A763" t="s">
        <v>765</v>
      </c>
      <c r="B763">
        <v>34.185580700000003</v>
      </c>
      <c r="C763">
        <v>-118.6066184</v>
      </c>
      <c r="D763" t="s">
        <v>5</v>
      </c>
    </row>
    <row r="764" spans="1:4" x14ac:dyDescent="0.45">
      <c r="A764" t="s">
        <v>766</v>
      </c>
      <c r="B764">
        <v>34.185581399999997</v>
      </c>
      <c r="C764">
        <v>-118.6066048</v>
      </c>
      <c r="D764" t="s">
        <v>5</v>
      </c>
    </row>
    <row r="765" spans="1:4" x14ac:dyDescent="0.45">
      <c r="A765" t="s">
        <v>767</v>
      </c>
      <c r="B765">
        <v>34.186306100000003</v>
      </c>
      <c r="C765">
        <v>-118.60653550000001</v>
      </c>
      <c r="D765" t="s">
        <v>5</v>
      </c>
    </row>
    <row r="766" spans="1:4" x14ac:dyDescent="0.45">
      <c r="A766" t="s">
        <v>768</v>
      </c>
      <c r="B766">
        <v>34.177992500000002</v>
      </c>
      <c r="C766">
        <v>-118.5992571</v>
      </c>
      <c r="D766" t="str">
        <f>HYPERLINK("https://streetviewpixels-pa.googleapis.com/v1/thumbnail?panoid=vmm2_qL4r5VKzFrwQAGFKw&amp;cb_client=search.gws-prod.gps&amp;w=408&amp;h=240&amp;yaw=1.916261&amp;pitch=0&amp;thumbfov=100", "link")</f>
        <v>link</v>
      </c>
    </row>
    <row r="767" spans="1:4" x14ac:dyDescent="0.45">
      <c r="A767" t="s">
        <v>769</v>
      </c>
      <c r="B767">
        <v>34.184804999999997</v>
      </c>
      <c r="C767">
        <v>-118.6036027</v>
      </c>
      <c r="D767" t="str">
        <f>HYPERLINK("https://lh5.googleusercontent.com/p/AF1QipO6Lfu2OZ_qQfchaH6RjH7gA4fY4LzLK59i56ui=w408-h306-k-no", "link")</f>
        <v>link</v>
      </c>
    </row>
    <row r="768" spans="1:4" x14ac:dyDescent="0.45">
      <c r="A768" t="s">
        <v>770</v>
      </c>
      <c r="B768">
        <v>34.185244099999998</v>
      </c>
      <c r="C768">
        <v>-118.6039081</v>
      </c>
      <c r="D768" t="str">
        <f>HYPERLINK("https://streetviewpixels-pa.googleapis.com/v1/thumbnail?panoid=vPWJmdwvuYae5RUTp5Zg2A&amp;cb_client=search.gws-prod.gps&amp;w=408&amp;h=240&amp;yaw=260.97543&amp;pitch=0&amp;thumbfov=100", "link")</f>
        <v>link</v>
      </c>
    </row>
    <row r="769" spans="1:4" x14ac:dyDescent="0.45">
      <c r="A769" t="s">
        <v>771</v>
      </c>
      <c r="B769">
        <v>34.1781863</v>
      </c>
      <c r="C769">
        <v>-118.5978856</v>
      </c>
      <c r="D769" t="s">
        <v>5</v>
      </c>
    </row>
    <row r="770" spans="1:4" x14ac:dyDescent="0.45">
      <c r="A770" t="s">
        <v>772</v>
      </c>
      <c r="B770">
        <v>34.178227399999997</v>
      </c>
      <c r="C770">
        <v>-118.5978521</v>
      </c>
      <c r="D770" t="s">
        <v>5</v>
      </c>
    </row>
    <row r="771" spans="1:4" x14ac:dyDescent="0.45">
      <c r="A771" t="s">
        <v>773</v>
      </c>
      <c r="B771">
        <v>34.178563599999997</v>
      </c>
      <c r="C771">
        <v>-118.59795680000001</v>
      </c>
      <c r="D771" t="str">
        <f>HYPERLINK("https://streetviewpixels-pa.googleapis.com/v1/thumbnail?panoid=rq1lEvuxUuzFWvFAAl-IJQ&amp;cb_client=search.gws-prod.gps&amp;w=408&amp;h=240&amp;yaw=320.9065&amp;pitch=0&amp;thumbfov=100", "link")</f>
        <v>link</v>
      </c>
    </row>
    <row r="772" spans="1:4" x14ac:dyDescent="0.45">
      <c r="A772" t="s">
        <v>774</v>
      </c>
      <c r="B772">
        <v>34.1845304</v>
      </c>
      <c r="C772">
        <v>-118.60214550000001</v>
      </c>
      <c r="D772" t="s">
        <v>5</v>
      </c>
    </row>
    <row r="773" spans="1:4" x14ac:dyDescent="0.45">
      <c r="A773" t="s">
        <v>775</v>
      </c>
      <c r="B773">
        <v>34.157767100000001</v>
      </c>
      <c r="C773">
        <v>-118.5913784</v>
      </c>
      <c r="D773" t="s">
        <v>5</v>
      </c>
    </row>
    <row r="774" spans="1:4" x14ac:dyDescent="0.45">
      <c r="A774" t="s">
        <v>776</v>
      </c>
      <c r="B774">
        <v>34.178525499999999</v>
      </c>
      <c r="C774">
        <v>-118.59730500000001</v>
      </c>
      <c r="D774" t="str">
        <f>HYPERLINK("https://streetviewpixels-pa.googleapis.com/v1/thumbnail?panoid=XNnetO_mePnuujG4dpsP3A&amp;cb_client=search.gws-prod.gps&amp;w=408&amp;h=240&amp;yaw=62.51604&amp;pitch=0&amp;thumbfov=100", "link")</f>
        <v>link</v>
      </c>
    </row>
    <row r="775" spans="1:4" x14ac:dyDescent="0.45">
      <c r="A775" t="s">
        <v>777</v>
      </c>
      <c r="B775">
        <v>34.167454399999997</v>
      </c>
      <c r="C775">
        <v>-118.5909357</v>
      </c>
      <c r="D775" t="str">
        <f>HYPERLINK("https://streetviewpixels-pa.googleapis.com/v1/thumbnail?panoid=yeg5TF-91KErhc3-SwMOsw&amp;cb_client=search.gws-prod.gps&amp;w=408&amp;h=240&amp;yaw=305.22443&amp;pitch=0&amp;thumbfov=100", "link")</f>
        <v>link</v>
      </c>
    </row>
    <row r="776" spans="1:4" x14ac:dyDescent="0.45">
      <c r="A776" t="s">
        <v>778</v>
      </c>
      <c r="B776">
        <v>34.156327099999999</v>
      </c>
      <c r="C776">
        <v>-118.65160950000001</v>
      </c>
      <c r="D776" t="str">
        <f>HYPERLINK("https://lh5.googleusercontent.com/p/AF1QipPZyPms_PVbsIw_wQ5n5QcILyifefbBVS6lPr5a=w408-h544-k-no", "link")</f>
        <v>link</v>
      </c>
    </row>
    <row r="777" spans="1:4" x14ac:dyDescent="0.45">
      <c r="A777" t="s">
        <v>779</v>
      </c>
      <c r="B777">
        <v>34.152034800000003</v>
      </c>
      <c r="C777">
        <v>-118.6468059</v>
      </c>
      <c r="D777" t="s">
        <v>5</v>
      </c>
    </row>
    <row r="778" spans="1:4" x14ac:dyDescent="0.45">
      <c r="A778" t="s">
        <v>780</v>
      </c>
      <c r="B778">
        <v>34.154383199999899</v>
      </c>
      <c r="C778">
        <v>-118.64355209999999</v>
      </c>
      <c r="D778" t="str">
        <f>HYPERLINK("https://streetviewpixels-pa.googleapis.com/v1/thumbnail?panoid=B9HkJsSg5-ayuAxsgHzrCA&amp;cb_client=search.gws-prod.gps&amp;w=408&amp;h=240&amp;yaw=191.6671&amp;pitch=0&amp;thumbfov=100", "link")</f>
        <v>link</v>
      </c>
    </row>
    <row r="779" spans="1:4" x14ac:dyDescent="0.45">
      <c r="A779" t="s">
        <v>781</v>
      </c>
      <c r="B779">
        <v>34.157043100000003</v>
      </c>
      <c r="C779">
        <v>-118.64112</v>
      </c>
      <c r="D779" t="str">
        <f>HYPERLINK("https://lh5.googleusercontent.com/p/AF1QipOWhM-qmOevbb-6r8lnz6QgR8U_LeJpFIP-zeM=w408-h544-k-no", "link")</f>
        <v>link</v>
      </c>
    </row>
    <row r="780" spans="1:4" x14ac:dyDescent="0.45">
      <c r="A780" t="s">
        <v>782</v>
      </c>
      <c r="B780">
        <v>34.143318299999997</v>
      </c>
      <c r="C780">
        <v>-118.6587466</v>
      </c>
      <c r="D780" t="s">
        <v>5</v>
      </c>
    </row>
    <row r="781" spans="1:4" x14ac:dyDescent="0.45">
      <c r="A781" t="s">
        <v>783</v>
      </c>
      <c r="B781">
        <v>34.1661213</v>
      </c>
      <c r="C781">
        <v>-118.62392130000001</v>
      </c>
      <c r="D781" t="str">
        <f>HYPERLINK("https://streetviewpixels-pa.googleapis.com/v1/thumbnail?panoid=Mwy7WfuvXKq-lZ0chbbFcw&amp;cb_client=search.gws-prod.gps&amp;w=408&amp;h=240&amp;yaw=302.51224&amp;pitch=0&amp;thumbfov=100", "link")</f>
        <v>link</v>
      </c>
    </row>
    <row r="782" spans="1:4" x14ac:dyDescent="0.45">
      <c r="A782" t="s">
        <v>784</v>
      </c>
      <c r="B782">
        <v>34.168410999999999</v>
      </c>
      <c r="C782">
        <v>-118.617226</v>
      </c>
      <c r="D782" t="s">
        <v>5</v>
      </c>
    </row>
    <row r="783" spans="1:4" x14ac:dyDescent="0.45">
      <c r="A783" t="s">
        <v>785</v>
      </c>
      <c r="B783">
        <v>34.186899500000003</v>
      </c>
      <c r="C783">
        <v>-118.64133750000001</v>
      </c>
      <c r="D783" t="s">
        <v>5</v>
      </c>
    </row>
    <row r="784" spans="1:4" x14ac:dyDescent="0.45">
      <c r="A784" t="s">
        <v>786</v>
      </c>
      <c r="B784">
        <v>34.185009000000001</v>
      </c>
      <c r="C784">
        <v>-118.6683531</v>
      </c>
      <c r="D784" t="str">
        <f>HYPERLINK("https://lh5.googleusercontent.com/p/AF1QipP2cynChGj5949CTxn7xaG3UoPLA0MNYewqxJ9G=w427-h240-k-no", "link")</f>
        <v>link</v>
      </c>
    </row>
    <row r="785" spans="1:4" x14ac:dyDescent="0.45">
      <c r="A785" t="s">
        <v>787</v>
      </c>
      <c r="B785">
        <v>34.1889951</v>
      </c>
      <c r="C785">
        <v>-118.6601442</v>
      </c>
      <c r="D785" t="s">
        <v>5</v>
      </c>
    </row>
    <row r="786" spans="1:4" x14ac:dyDescent="0.45">
      <c r="A786" t="s">
        <v>788</v>
      </c>
      <c r="B786">
        <v>34.188774100000003</v>
      </c>
      <c r="C786">
        <v>-118.6415312</v>
      </c>
      <c r="D786" t="str">
        <f>HYPERLINK("https://streetviewpixels-pa.googleapis.com/v1/thumbnail?panoid=CRrOeSb_ZLYQm1JIF5FCpA&amp;cb_client=search.gws-prod.gps&amp;w=408&amp;h=240&amp;yaw=74.08374&amp;pitch=0&amp;thumbfov=100", "link")</f>
        <v>link</v>
      </c>
    </row>
    <row r="787" spans="1:4" x14ac:dyDescent="0.45">
      <c r="A787" t="s">
        <v>789</v>
      </c>
      <c r="B787">
        <v>34.189643500000003</v>
      </c>
      <c r="C787">
        <v>-118.6362215</v>
      </c>
      <c r="D787" t="str">
        <f>HYPERLINK("https://streetviewpixels-pa.googleapis.com/v1/thumbnail?panoid=9-PH5yGeCe2lsv3jVbwkWg&amp;cb_client=search.gws-prod.gps&amp;w=408&amp;h=240&amp;yaw=191.19215&amp;pitch=0&amp;thumbfov=100", "link")</f>
        <v>link</v>
      </c>
    </row>
    <row r="788" spans="1:4" x14ac:dyDescent="0.45">
      <c r="A788" t="s">
        <v>790</v>
      </c>
      <c r="B788">
        <v>34.1758126</v>
      </c>
      <c r="C788">
        <v>-118.6139895</v>
      </c>
      <c r="D788" t="s">
        <v>5</v>
      </c>
    </row>
    <row r="789" spans="1:4" x14ac:dyDescent="0.45">
      <c r="A789" t="s">
        <v>791</v>
      </c>
      <c r="B789">
        <v>34.169227200000002</v>
      </c>
      <c r="C789">
        <v>-118.6086562</v>
      </c>
      <c r="D789" t="s">
        <v>5</v>
      </c>
    </row>
    <row r="790" spans="1:4" x14ac:dyDescent="0.45">
      <c r="A790" t="s">
        <v>792</v>
      </c>
      <c r="B790">
        <v>34.169911300000003</v>
      </c>
      <c r="C790">
        <v>-118.6072997</v>
      </c>
      <c r="D790" t="str">
        <f>HYPERLINK("https://streetviewpixels-pa.googleapis.com/v1/thumbnail?panoid=ughiIXI1diqJQfXDUt3ZKA&amp;cb_client=search.gws-prod.gps&amp;w=408&amp;h=240&amp;yaw=334.61798&amp;pitch=0&amp;thumbfov=100", "link")</f>
        <v>link</v>
      </c>
    </row>
    <row r="791" spans="1:4" x14ac:dyDescent="0.45">
      <c r="A791" t="s">
        <v>793</v>
      </c>
      <c r="B791">
        <v>34.170052499999997</v>
      </c>
      <c r="C791">
        <v>-118.6072886</v>
      </c>
      <c r="D791" t="s">
        <v>5</v>
      </c>
    </row>
    <row r="792" spans="1:4" x14ac:dyDescent="0.45">
      <c r="A792" t="s">
        <v>794</v>
      </c>
      <c r="B792">
        <v>34.167782399999901</v>
      </c>
      <c r="C792">
        <v>-118.60423040000001</v>
      </c>
      <c r="D792" t="s">
        <v>5</v>
      </c>
    </row>
    <row r="793" spans="1:4" x14ac:dyDescent="0.45">
      <c r="A793" t="s">
        <v>795</v>
      </c>
      <c r="B793">
        <v>34.171267499999999</v>
      </c>
      <c r="C793">
        <v>-118.6035961</v>
      </c>
      <c r="D793" t="str">
        <f>HYPERLINK("https://streetviewpixels-pa.googleapis.com/v1/thumbnail?panoid=Poxw248bZWJnS6WDW1nreg&amp;cb_client=search.gws-prod.gps&amp;w=408&amp;h=240&amp;yaw=2.90284&amp;pitch=0&amp;thumbfov=100", "link")</f>
        <v>link</v>
      </c>
    </row>
    <row r="794" spans="1:4" x14ac:dyDescent="0.45">
      <c r="A794" t="s">
        <v>796</v>
      </c>
      <c r="B794">
        <v>34.1263516</v>
      </c>
      <c r="C794">
        <v>-118.6130452</v>
      </c>
      <c r="D794" t="s">
        <v>5</v>
      </c>
    </row>
    <row r="795" spans="1:4" x14ac:dyDescent="0.45">
      <c r="A795" t="s">
        <v>797</v>
      </c>
      <c r="B795">
        <v>34.1724982</v>
      </c>
      <c r="C795">
        <v>-118.60233150000001</v>
      </c>
      <c r="D795" t="str">
        <f>HYPERLINK("https://streetviewpixels-pa.googleapis.com/v1/thumbnail?panoid=j_GOIDHgBCW5ZRPo9XNO-g&amp;cb_client=search.gws-prod.gps&amp;w=408&amp;h=240&amp;yaw=8.548022&amp;pitch=0&amp;thumbfov=100", "link")</f>
        <v>link</v>
      </c>
    </row>
    <row r="796" spans="1:4" x14ac:dyDescent="0.45">
      <c r="A796" t="s">
        <v>798</v>
      </c>
      <c r="B796">
        <v>34.167523199999998</v>
      </c>
      <c r="C796">
        <v>-118.59027810000001</v>
      </c>
      <c r="D796" t="str">
        <f>HYPERLINK("https://streetviewpixels-pa.googleapis.com/v1/thumbnail?panoid=TDjIl4v6UYL6qnxT9_jbPA&amp;cb_client=search.gws-prod.gps&amp;w=408&amp;h=240&amp;yaw=52.08736&amp;pitch=0&amp;thumbfov=100", "link")</f>
        <v>link</v>
      </c>
    </row>
    <row r="797" spans="1:4" x14ac:dyDescent="0.45">
      <c r="A797" t="s">
        <v>799</v>
      </c>
      <c r="B797">
        <v>34.165482300000001</v>
      </c>
      <c r="C797">
        <v>-118.5849308</v>
      </c>
      <c r="D797" t="str">
        <f>HYPERLINK("https://streetviewpixels-pa.googleapis.com/v1/thumbnail?panoid=jBEjfsgxg8T9u8GfvBJdDQ&amp;cb_client=search.gws-prod.gps&amp;w=408&amp;h=240&amp;yaw=70.074036&amp;pitch=0&amp;thumbfov=100", "link")</f>
        <v>link</v>
      </c>
    </row>
    <row r="798" spans="1:4" x14ac:dyDescent="0.45">
      <c r="A798" t="s">
        <v>800</v>
      </c>
      <c r="B798">
        <v>34.166398899999997</v>
      </c>
      <c r="C798">
        <v>-118.58390180000001</v>
      </c>
      <c r="D798" t="str">
        <f>HYPERLINK("https://streetviewpixels-pa.googleapis.com/v1/thumbnail?panoid=Zrcu6mLXSWoxS5lc4ivtmg&amp;cb_client=search.gws-prod.gps&amp;w=408&amp;h=240&amp;yaw=166.00502&amp;pitch=0&amp;thumbfov=100", "link")</f>
        <v>link</v>
      </c>
    </row>
    <row r="799" spans="1:4" x14ac:dyDescent="0.45">
      <c r="A799" t="s">
        <v>801</v>
      </c>
      <c r="B799">
        <v>34.175963600000003</v>
      </c>
      <c r="C799">
        <v>-118.59378030000001</v>
      </c>
      <c r="D799" t="str">
        <f>HYPERLINK("https://lh5.googleusercontent.com/p/AF1QipOhnYOHA7BUBjB1zyNPk56900yMt7ZzYhZMuBJV=w408-h408-k-no", "link")</f>
        <v>link</v>
      </c>
    </row>
    <row r="800" spans="1:4" x14ac:dyDescent="0.45">
      <c r="A800" t="s">
        <v>802</v>
      </c>
      <c r="B800">
        <v>34.168525299999999</v>
      </c>
      <c r="C800">
        <v>-118.5758314</v>
      </c>
      <c r="D800" t="s">
        <v>5</v>
      </c>
    </row>
    <row r="801" spans="1:4" x14ac:dyDescent="0.45">
      <c r="A801" t="s">
        <v>803</v>
      </c>
      <c r="B801">
        <v>34.169386799999998</v>
      </c>
      <c r="C801">
        <v>-118.57644689999999</v>
      </c>
      <c r="D801" t="str">
        <f>HYPERLINK("https://streetviewpixels-pa.googleapis.com/v1/thumbnail?panoid=fkLhVyozqzFjzT14YlrHAQ&amp;cb_client=search.gws-prod.gps&amp;w=408&amp;h=240&amp;yaw=335.22818&amp;pitch=0&amp;thumbfov=100", "link")</f>
        <v>link</v>
      </c>
    </row>
    <row r="802" spans="1:4" x14ac:dyDescent="0.45">
      <c r="A802" t="s">
        <v>804</v>
      </c>
      <c r="B802">
        <v>34.169569699999997</v>
      </c>
      <c r="C802">
        <v>-118.5762727</v>
      </c>
      <c r="D802" t="str">
        <f>HYPERLINK("https://streetviewpixels-pa.googleapis.com/v1/thumbnail?panoid=fkLhVyozqzFjzT14YlrHAQ&amp;cb_client=search.gws-prod.gps&amp;w=408&amp;h=240&amp;yaw=335.22818&amp;pitch=0&amp;thumbfov=100", "link")</f>
        <v>link</v>
      </c>
    </row>
    <row r="803" spans="1:4" x14ac:dyDescent="0.45">
      <c r="A803" t="s">
        <v>805</v>
      </c>
      <c r="B803">
        <v>34.169596200000001</v>
      </c>
      <c r="C803">
        <v>-118.5760138</v>
      </c>
      <c r="D803" t="s">
        <v>5</v>
      </c>
    </row>
    <row r="804" spans="1:4" x14ac:dyDescent="0.45">
      <c r="A804" t="s">
        <v>806</v>
      </c>
      <c r="B804">
        <v>34.112089300000001</v>
      </c>
      <c r="C804">
        <v>-118.5900563</v>
      </c>
      <c r="D804" t="s">
        <v>5</v>
      </c>
    </row>
    <row r="805" spans="1:4" x14ac:dyDescent="0.45">
      <c r="A805" t="s">
        <v>807</v>
      </c>
      <c r="B805">
        <v>34.094527300000003</v>
      </c>
      <c r="C805">
        <v>-118.6010888</v>
      </c>
      <c r="D805" t="s">
        <v>5</v>
      </c>
    </row>
    <row r="806" spans="1:4" x14ac:dyDescent="0.45">
      <c r="A806" t="s">
        <v>808</v>
      </c>
      <c r="B806">
        <v>34.157228600000003</v>
      </c>
      <c r="C806">
        <v>-118.58675100000001</v>
      </c>
      <c r="D806" t="str">
        <f>HYPERLINK("https://lh5.googleusercontent.com/p/AF1QipPF0VGil5_WjpOy986qghUyZlqKjm9_g4BlG4cg=w426-h240-k-no", "link")</f>
        <v>link</v>
      </c>
    </row>
    <row r="807" spans="1:4" x14ac:dyDescent="0.45">
      <c r="A807" t="s">
        <v>809</v>
      </c>
      <c r="B807">
        <v>34.093339100000001</v>
      </c>
      <c r="C807">
        <v>-118.58763999999999</v>
      </c>
      <c r="D807" t="s">
        <v>5</v>
      </c>
    </row>
    <row r="808" spans="1:4" x14ac:dyDescent="0.45">
      <c r="A808" t="s">
        <v>810</v>
      </c>
      <c r="B808">
        <v>34.046207699999997</v>
      </c>
      <c r="C808">
        <v>-118.7153821</v>
      </c>
      <c r="D808" t="s">
        <v>5</v>
      </c>
    </row>
    <row r="809" spans="1:4" x14ac:dyDescent="0.45">
      <c r="A809" t="s">
        <v>811</v>
      </c>
      <c r="B809">
        <v>34.045754199999998</v>
      </c>
      <c r="C809">
        <v>-118.70985949999999</v>
      </c>
      <c r="D809" t="s">
        <v>5</v>
      </c>
    </row>
    <row r="810" spans="1:4" x14ac:dyDescent="0.45">
      <c r="A810" t="s">
        <v>812</v>
      </c>
      <c r="B810">
        <v>34.045597700000002</v>
      </c>
      <c r="C810">
        <v>-118.7089393</v>
      </c>
      <c r="D810" t="s">
        <v>5</v>
      </c>
    </row>
    <row r="811" spans="1:4" x14ac:dyDescent="0.45">
      <c r="A811" t="s">
        <v>813</v>
      </c>
      <c r="B811">
        <v>34.044905499999999</v>
      </c>
      <c r="C811">
        <v>-118.71497960000001</v>
      </c>
      <c r="D811" t="s">
        <v>5</v>
      </c>
    </row>
    <row r="812" spans="1:4" x14ac:dyDescent="0.45">
      <c r="A812" t="s">
        <v>814</v>
      </c>
      <c r="B812">
        <v>34.044637000000002</v>
      </c>
      <c r="C812">
        <v>-118.709321</v>
      </c>
      <c r="D812" t="s">
        <v>5</v>
      </c>
    </row>
    <row r="813" spans="1:4" x14ac:dyDescent="0.45">
      <c r="A813" t="s">
        <v>815</v>
      </c>
      <c r="B813">
        <v>34.043754</v>
      </c>
      <c r="C813">
        <v>-118.7080993</v>
      </c>
      <c r="D813" t="str">
        <f>HYPERLINK("https://lh5.googleusercontent.com/p/AF1QipNBnBTNUs7lT0AFRu9qoki_YvQzlsMLCHCWIT00=w408-h306-k-no", "link")</f>
        <v>link</v>
      </c>
    </row>
    <row r="814" spans="1:4" x14ac:dyDescent="0.45">
      <c r="A814" t="s">
        <v>816</v>
      </c>
      <c r="B814">
        <v>34.043361300000001</v>
      </c>
      <c r="C814">
        <v>-118.71181780000001</v>
      </c>
      <c r="D814" t="s">
        <v>5</v>
      </c>
    </row>
    <row r="815" spans="1:4" x14ac:dyDescent="0.45">
      <c r="A815" t="s">
        <v>817</v>
      </c>
      <c r="B815">
        <v>34.0429241</v>
      </c>
      <c r="C815">
        <v>-118.7102005</v>
      </c>
      <c r="D815" t="s">
        <v>5</v>
      </c>
    </row>
    <row r="816" spans="1:4" x14ac:dyDescent="0.45">
      <c r="A816" t="s">
        <v>818</v>
      </c>
      <c r="B816">
        <v>34.0416612</v>
      </c>
      <c r="C816">
        <v>-118.70788330000001</v>
      </c>
      <c r="D816" t="s">
        <v>5</v>
      </c>
    </row>
    <row r="817" spans="1:4" x14ac:dyDescent="0.45">
      <c r="A817" t="s">
        <v>819</v>
      </c>
      <c r="B817">
        <v>34.041680399999997</v>
      </c>
      <c r="C817">
        <v>-118.71296630000001</v>
      </c>
      <c r="D817" t="s">
        <v>5</v>
      </c>
    </row>
    <row r="818" spans="1:4" x14ac:dyDescent="0.45">
      <c r="A818" t="s">
        <v>820</v>
      </c>
      <c r="B818">
        <v>34.0409717</v>
      </c>
      <c r="C818">
        <v>-118.712727</v>
      </c>
      <c r="D818" t="s">
        <v>5</v>
      </c>
    </row>
    <row r="819" spans="1:4" x14ac:dyDescent="0.45">
      <c r="A819" t="s">
        <v>821</v>
      </c>
      <c r="B819">
        <v>34.039822700000002</v>
      </c>
      <c r="C819">
        <v>-118.71227500000001</v>
      </c>
      <c r="D819" t="str">
        <f>HYPERLINK("https://streetviewpixels-pa.googleapis.com/v1/thumbnail?panoid=aHKuS8VB9VP1PTe8ahzAfw&amp;cb_client=search.gws-prod.gps&amp;w=408&amp;h=240&amp;yaw=62.98124&amp;pitch=0&amp;thumbfov=100", "link")</f>
        <v>link</v>
      </c>
    </row>
    <row r="820" spans="1:4" x14ac:dyDescent="0.45">
      <c r="A820" t="s">
        <v>822</v>
      </c>
      <c r="B820">
        <v>34.039596699999997</v>
      </c>
      <c r="C820">
        <v>-118.7115038</v>
      </c>
      <c r="D820" t="s">
        <v>5</v>
      </c>
    </row>
    <row r="821" spans="1:4" x14ac:dyDescent="0.45">
      <c r="A821" t="s">
        <v>823</v>
      </c>
      <c r="B821">
        <v>34.039322800000001</v>
      </c>
      <c r="C821">
        <v>-118.706892</v>
      </c>
      <c r="D821" t="s">
        <v>5</v>
      </c>
    </row>
    <row r="822" spans="1:4" x14ac:dyDescent="0.45">
      <c r="A822" t="s">
        <v>824</v>
      </c>
      <c r="B822">
        <v>34.086402999999997</v>
      </c>
      <c r="C822">
        <v>-118.71428830000001</v>
      </c>
      <c r="D822" t="s">
        <v>5</v>
      </c>
    </row>
    <row r="823" spans="1:4" x14ac:dyDescent="0.45">
      <c r="A823" t="s">
        <v>825</v>
      </c>
      <c r="B823">
        <v>34.083449000000002</v>
      </c>
      <c r="C823">
        <v>-118.70521170000001</v>
      </c>
      <c r="D823" t="s">
        <v>5</v>
      </c>
    </row>
    <row r="824" spans="1:4" x14ac:dyDescent="0.45">
      <c r="A824" t="s">
        <v>826</v>
      </c>
      <c r="B824">
        <v>34.082955900000002</v>
      </c>
      <c r="C824">
        <v>-118.7054048</v>
      </c>
      <c r="D824" t="s">
        <v>5</v>
      </c>
    </row>
    <row r="825" spans="1:4" x14ac:dyDescent="0.45">
      <c r="A825" t="s">
        <v>827</v>
      </c>
      <c r="B825">
        <v>34.079964400000001</v>
      </c>
      <c r="C825">
        <v>-118.7036736</v>
      </c>
      <c r="D825" t="s">
        <v>5</v>
      </c>
    </row>
    <row r="826" spans="1:4" x14ac:dyDescent="0.45">
      <c r="A826" t="s">
        <v>828</v>
      </c>
      <c r="B826">
        <v>34.079789300000002</v>
      </c>
      <c r="C826">
        <v>-118.7037426</v>
      </c>
      <c r="D826" t="s">
        <v>5</v>
      </c>
    </row>
    <row r="827" spans="1:4" x14ac:dyDescent="0.45">
      <c r="A827" t="s">
        <v>829</v>
      </c>
      <c r="B827">
        <v>34.073804500000001</v>
      </c>
      <c r="C827">
        <v>-118.69773069999999</v>
      </c>
      <c r="D827" t="s">
        <v>5</v>
      </c>
    </row>
    <row r="828" spans="1:4" x14ac:dyDescent="0.45">
      <c r="A828" t="s">
        <v>830</v>
      </c>
      <c r="B828">
        <v>34.0738026</v>
      </c>
      <c r="C828">
        <v>-118.6976142</v>
      </c>
      <c r="D828" t="s">
        <v>5</v>
      </c>
    </row>
    <row r="829" spans="1:4" x14ac:dyDescent="0.45">
      <c r="A829" t="s">
        <v>831</v>
      </c>
      <c r="B829">
        <v>34.047159399999998</v>
      </c>
      <c r="C829">
        <v>-118.71530199999999</v>
      </c>
      <c r="D829" t="s">
        <v>5</v>
      </c>
    </row>
    <row r="830" spans="1:4" x14ac:dyDescent="0.45">
      <c r="A830" t="s">
        <v>832</v>
      </c>
      <c r="B830">
        <v>34.0469662</v>
      </c>
      <c r="C830">
        <v>-118.7154455</v>
      </c>
      <c r="D830" t="s">
        <v>5</v>
      </c>
    </row>
    <row r="831" spans="1:4" x14ac:dyDescent="0.45">
      <c r="A831" t="s">
        <v>833</v>
      </c>
      <c r="B831">
        <v>34.046772900000001</v>
      </c>
      <c r="C831">
        <v>-118.7154874</v>
      </c>
      <c r="D831" t="s">
        <v>5</v>
      </c>
    </row>
    <row r="832" spans="1:4" x14ac:dyDescent="0.45">
      <c r="A832" t="s">
        <v>834</v>
      </c>
      <c r="B832">
        <v>34.170196900000001</v>
      </c>
      <c r="C832">
        <v>-118.57159110000001</v>
      </c>
      <c r="D832" t="s">
        <v>5</v>
      </c>
    </row>
    <row r="833" spans="1:4" x14ac:dyDescent="0.45">
      <c r="A833" t="s">
        <v>835</v>
      </c>
      <c r="B833">
        <v>34.170793000000003</v>
      </c>
      <c r="C833">
        <v>-118.5704968</v>
      </c>
      <c r="D833" t="s">
        <v>5</v>
      </c>
    </row>
    <row r="834" spans="1:4" x14ac:dyDescent="0.45">
      <c r="A834" t="s">
        <v>836</v>
      </c>
      <c r="B834">
        <v>34.183750099999997</v>
      </c>
      <c r="C834">
        <v>-118.59654639999999</v>
      </c>
      <c r="D834" t="str">
        <f>HYPERLINK("https://streetviewpixels-pa.googleapis.com/v1/thumbnail?panoid=qhnm_NfScgyS1ERAgyrKVQ&amp;cb_client=search.gws-prod.gps&amp;w=408&amp;h=240&amp;yaw=137.36127&amp;pitch=0&amp;thumbfov=100", "link")</f>
        <v>link</v>
      </c>
    </row>
    <row r="835" spans="1:4" x14ac:dyDescent="0.45">
      <c r="A835" t="s">
        <v>837</v>
      </c>
      <c r="B835">
        <v>34.181754499999997</v>
      </c>
      <c r="C835">
        <v>-118.5788862</v>
      </c>
      <c r="D835" t="str">
        <f>HYPERLINK("https://lh5.googleusercontent.com/p/AF1QipOnKqvn9_LCakwn39diQAUOzXyPagSi_oCrQ8OU=w408-h544-k-no", "link")</f>
        <v>link</v>
      </c>
    </row>
    <row r="836" spans="1:4" x14ac:dyDescent="0.45">
      <c r="A836" t="s">
        <v>838</v>
      </c>
      <c r="B836">
        <v>34.181732699999998</v>
      </c>
      <c r="C836">
        <v>-118.5788376</v>
      </c>
      <c r="D836" t="str">
        <f>HYPERLINK("https://lh5.googleusercontent.com/p/AF1QipOnKqvn9_LCakwn39diQAUOzXyPagSi_oCrQ8OU=w408-h544-k-no", "link")</f>
        <v>link</v>
      </c>
    </row>
    <row r="837" spans="1:4" x14ac:dyDescent="0.45">
      <c r="A837" t="s">
        <v>839</v>
      </c>
      <c r="B837">
        <v>34.1832998</v>
      </c>
      <c r="C837">
        <v>-118.5803452</v>
      </c>
      <c r="D837" t="s">
        <v>5</v>
      </c>
    </row>
    <row r="838" spans="1:4" x14ac:dyDescent="0.45">
      <c r="A838" t="s">
        <v>840</v>
      </c>
      <c r="B838">
        <v>34.038506400000003</v>
      </c>
      <c r="C838">
        <v>-118.7045777</v>
      </c>
      <c r="D838" t="s">
        <v>5</v>
      </c>
    </row>
    <row r="839" spans="1:4" x14ac:dyDescent="0.45">
      <c r="A839" t="s">
        <v>841</v>
      </c>
      <c r="B839">
        <v>34.037688600000003</v>
      </c>
      <c r="C839">
        <v>-118.7065437</v>
      </c>
      <c r="D839" t="s">
        <v>5</v>
      </c>
    </row>
    <row r="840" spans="1:4" x14ac:dyDescent="0.45">
      <c r="A840" t="s">
        <v>842</v>
      </c>
      <c r="B840">
        <v>34.037469899999998</v>
      </c>
      <c r="C840">
        <v>-118.70878759999999</v>
      </c>
      <c r="D840" t="s">
        <v>5</v>
      </c>
    </row>
    <row r="841" spans="1:4" x14ac:dyDescent="0.45">
      <c r="A841" t="s">
        <v>843</v>
      </c>
      <c r="B841">
        <v>34.036673299999997</v>
      </c>
      <c r="C841">
        <v>-118.68900309999999</v>
      </c>
      <c r="D841" t="s">
        <v>5</v>
      </c>
    </row>
    <row r="842" spans="1:4" x14ac:dyDescent="0.45">
      <c r="A842" t="s">
        <v>844</v>
      </c>
      <c r="B842">
        <v>34.034146200000002</v>
      </c>
      <c r="C842">
        <v>-118.7036736</v>
      </c>
      <c r="D842" t="s">
        <v>5</v>
      </c>
    </row>
    <row r="843" spans="1:4" x14ac:dyDescent="0.45">
      <c r="A843" t="s">
        <v>845</v>
      </c>
      <c r="B843">
        <v>34.034646599999903</v>
      </c>
      <c r="C843">
        <v>-118.69447049999999</v>
      </c>
      <c r="D843" t="str">
        <f>HYPERLINK("https://streetviewpixels-pa.googleapis.com/v1/thumbnail?panoid=yDVPjnQAZjE6P_IEjCSkbQ&amp;cb_client=search.gws-prod.gps&amp;w=408&amp;h=240&amp;yaw=328.2249&amp;pitch=0&amp;thumbfov=100", "link")</f>
        <v>link</v>
      </c>
    </row>
    <row r="844" spans="1:4" x14ac:dyDescent="0.45">
      <c r="A844" t="s">
        <v>846</v>
      </c>
      <c r="B844">
        <v>34.036213500000002</v>
      </c>
      <c r="C844">
        <v>-118.6867249</v>
      </c>
      <c r="D844" t="s">
        <v>5</v>
      </c>
    </row>
    <row r="845" spans="1:4" x14ac:dyDescent="0.45">
      <c r="A845" t="s">
        <v>847</v>
      </c>
      <c r="B845">
        <v>34.0358479</v>
      </c>
      <c r="C845">
        <v>-118.68690719999999</v>
      </c>
      <c r="D845" t="s">
        <v>5</v>
      </c>
    </row>
    <row r="846" spans="1:4" x14ac:dyDescent="0.45">
      <c r="A846" t="s">
        <v>848</v>
      </c>
      <c r="B846">
        <v>34.034470499999998</v>
      </c>
      <c r="C846">
        <v>-118.69264800000001</v>
      </c>
      <c r="D846" t="s">
        <v>5</v>
      </c>
    </row>
    <row r="847" spans="1:4" x14ac:dyDescent="0.45">
      <c r="A847" t="s">
        <v>849</v>
      </c>
      <c r="B847">
        <v>34.185088399999998</v>
      </c>
      <c r="C847">
        <v>-118.5969133</v>
      </c>
      <c r="D847" t="s">
        <v>5</v>
      </c>
    </row>
    <row r="848" spans="1:4" x14ac:dyDescent="0.45">
      <c r="A848" t="s">
        <v>850</v>
      </c>
      <c r="B848">
        <v>34.185400600000001</v>
      </c>
      <c r="C848">
        <v>-118.5963021</v>
      </c>
      <c r="D848" t="s">
        <v>5</v>
      </c>
    </row>
    <row r="849" spans="1:4" x14ac:dyDescent="0.45">
      <c r="A849" t="s">
        <v>851</v>
      </c>
      <c r="B849">
        <v>34.185664600000003</v>
      </c>
      <c r="C849">
        <v>-118.5957566</v>
      </c>
      <c r="D849" t="s">
        <v>5</v>
      </c>
    </row>
    <row r="850" spans="1:4" x14ac:dyDescent="0.45">
      <c r="A850" t="s">
        <v>852</v>
      </c>
      <c r="B850">
        <v>34.188437</v>
      </c>
      <c r="C850">
        <v>-118.6018787</v>
      </c>
      <c r="D850" t="str">
        <f>HYPERLINK("https://lh5.googleusercontent.com/p/AF1QipPa2dTLAYZepEiUPfI1XyGiiDZHtgcZ5AjOLaua=w408-h839-k-no", "link")</f>
        <v>link</v>
      </c>
    </row>
    <row r="851" spans="1:4" x14ac:dyDescent="0.45">
      <c r="A851" t="s">
        <v>853</v>
      </c>
      <c r="B851">
        <v>34.200109699999999</v>
      </c>
      <c r="C851">
        <v>-118.6025066</v>
      </c>
      <c r="D851" t="str">
        <f>HYPERLINK("https://lh5.googleusercontent.com/p/AF1QipMPWIf-roWoc43P2joaag1NiE630Lf3y0Y3NNeC=w408-h306-k-no", "link")</f>
        <v>link</v>
      </c>
    </row>
    <row r="852" spans="1:4" x14ac:dyDescent="0.45">
      <c r="A852" t="s">
        <v>854</v>
      </c>
      <c r="B852">
        <v>34.1998227999999</v>
      </c>
      <c r="C852">
        <v>-118.5968876</v>
      </c>
      <c r="D852" t="str">
        <f>HYPERLINK("https://lh5.googleusercontent.com/p/AF1QipOqxhEYvZ58Y2vsqEuvAjrik6ZaE6QqvC3Bqc_s=w408-h281-k-no", "link")</f>
        <v>link</v>
      </c>
    </row>
    <row r="853" spans="1:4" x14ac:dyDescent="0.45">
      <c r="A853" t="s">
        <v>855</v>
      </c>
      <c r="B853">
        <v>34.200488</v>
      </c>
      <c r="C853">
        <v>-118.6042075</v>
      </c>
      <c r="D853" t="str">
        <f>HYPERLINK("https://streetviewpixels-pa.googleapis.com/v1/thumbnail?panoid=_MTCDlxQTKmw3Nt_n9bmVQ&amp;cb_client=search.gws-prod.gps&amp;w=408&amp;h=240&amp;yaw=128.02669&amp;pitch=0&amp;thumbfov=100", "link")</f>
        <v>link</v>
      </c>
    </row>
    <row r="854" spans="1:4" x14ac:dyDescent="0.45">
      <c r="A854" t="s">
        <v>856</v>
      </c>
      <c r="B854">
        <v>34.201671499999897</v>
      </c>
      <c r="C854">
        <v>-118.6006186</v>
      </c>
      <c r="D854" t="str">
        <f>HYPERLINK("https://streetviewpixels-pa.googleapis.com/v1/thumbnail?panoid=tLc382e37XMq3htCF05wrw&amp;cb_client=search.gws-prod.gps&amp;w=408&amp;h=240&amp;yaw=236.14122&amp;pitch=0&amp;thumbfov=100", "link")</f>
        <v>link</v>
      </c>
    </row>
    <row r="855" spans="1:4" x14ac:dyDescent="0.45">
      <c r="A855" t="s">
        <v>857</v>
      </c>
      <c r="B855">
        <v>34.2018676</v>
      </c>
      <c r="C855">
        <v>-118.61170509999999</v>
      </c>
      <c r="D855" t="str">
        <f>HYPERLINK("https://streetviewpixels-pa.googleapis.com/v1/thumbnail?panoid=nGVCFD6FvHSgGpKidNEAfg&amp;cb_client=search.gws-prod.gps&amp;w=408&amp;h=240&amp;yaw=335.2176&amp;pitch=0&amp;thumbfov=100", "link")</f>
        <v>link</v>
      </c>
    </row>
    <row r="856" spans="1:4" x14ac:dyDescent="0.45">
      <c r="A856" t="s">
        <v>858</v>
      </c>
      <c r="B856">
        <v>34.199433800000001</v>
      </c>
      <c r="C856">
        <v>-118.58828579999999</v>
      </c>
      <c r="D856" t="str">
        <f>HYPERLINK("https://streetviewpixels-pa.googleapis.com/v1/thumbnail?panoid=hgY8wFkDGqTWJF2juXEiaQ&amp;cb_client=search.gws-prod.gps&amp;w=408&amp;h=240&amp;yaw=62.60896&amp;pitch=0&amp;thumbfov=100", "link")</f>
        <v>link</v>
      </c>
    </row>
    <row r="857" spans="1:4" x14ac:dyDescent="0.45">
      <c r="A857" t="s">
        <v>859</v>
      </c>
      <c r="B857">
        <v>34.185185099999998</v>
      </c>
      <c r="C857">
        <v>-118.5823513</v>
      </c>
      <c r="D857" t="s">
        <v>5</v>
      </c>
    </row>
    <row r="858" spans="1:4" x14ac:dyDescent="0.45">
      <c r="A858" t="s">
        <v>860</v>
      </c>
      <c r="B858">
        <v>34.190723499999997</v>
      </c>
      <c r="C858">
        <v>-118.59694810000001</v>
      </c>
      <c r="D858" t="str">
        <f>HYPERLINK("https://lh5.googleusercontent.com/p/AF1QipOHWKt2VC5rlbTrgJZeUftyXTV37dG3dzIwvtXu=w426-h240-k-no", "link")</f>
        <v>link</v>
      </c>
    </row>
    <row r="859" spans="1:4" x14ac:dyDescent="0.45">
      <c r="A859" t="s">
        <v>861</v>
      </c>
      <c r="B859">
        <v>34.188058099999999</v>
      </c>
      <c r="C859">
        <v>-118.5954614</v>
      </c>
      <c r="D859" t="s">
        <v>5</v>
      </c>
    </row>
    <row r="860" spans="1:4" x14ac:dyDescent="0.45">
      <c r="A860" t="s">
        <v>862</v>
      </c>
      <c r="B860">
        <v>34.187569799999999</v>
      </c>
      <c r="C860">
        <v>-118.5779744</v>
      </c>
      <c r="D860" t="s">
        <v>5</v>
      </c>
    </row>
    <row r="861" spans="1:4" x14ac:dyDescent="0.45">
      <c r="A861" t="s">
        <v>863</v>
      </c>
      <c r="B861">
        <v>34.187370600000001</v>
      </c>
      <c r="C861">
        <v>-118.57783999999999</v>
      </c>
      <c r="D861" t="str">
        <f>HYPERLINK("https://lh5.googleusercontent.com/p/AF1QipOhm3CTMteagBXPAlLtuHKYUbK9UMgWMOswuO6e=w408-h306-k-no", "link")</f>
        <v>link</v>
      </c>
    </row>
    <row r="862" spans="1:4" x14ac:dyDescent="0.45">
      <c r="A862" t="s">
        <v>864</v>
      </c>
      <c r="B862">
        <v>34.186678999999998</v>
      </c>
      <c r="C862">
        <v>-118.57140870000001</v>
      </c>
      <c r="D862" t="s">
        <v>5</v>
      </c>
    </row>
    <row r="863" spans="1:4" x14ac:dyDescent="0.45">
      <c r="A863" t="s">
        <v>865</v>
      </c>
      <c r="B863">
        <v>34.182954899999999</v>
      </c>
      <c r="C863">
        <v>-118.57414439999999</v>
      </c>
      <c r="D863" t="str">
        <f>HYPERLINK("https://streetviewpixels-pa.googleapis.com/v1/thumbnail?panoid=tcp4CY8mR91aUW9dvdPVqA&amp;cb_client=search.gws-prod.gps&amp;w=408&amp;h=240&amp;yaw=330.18182&amp;pitch=0&amp;thumbfov=100", "link")</f>
        <v>link</v>
      </c>
    </row>
    <row r="864" spans="1:4" x14ac:dyDescent="0.45">
      <c r="A864" t="s">
        <v>866</v>
      </c>
      <c r="B864">
        <v>34.172906099999999</v>
      </c>
      <c r="C864">
        <v>-118.5536714</v>
      </c>
      <c r="D864" t="str">
        <f>HYPERLINK("https://streetviewpixels-pa.googleapis.com/v1/thumbnail?panoid=rpKA4BSVdWOqZdA8Bx8mxg&amp;cb_client=search.gws-prod.gps&amp;w=408&amp;h=240&amp;yaw=10.165501&amp;pitch=0&amp;thumbfov=100", "link")</f>
        <v>link</v>
      </c>
    </row>
    <row r="865" spans="1:4" x14ac:dyDescent="0.45">
      <c r="A865" t="s">
        <v>867</v>
      </c>
      <c r="B865">
        <v>34.186955699999899</v>
      </c>
      <c r="C865">
        <v>-118.57196329999999</v>
      </c>
      <c r="D865" t="str">
        <f>HYPERLINK("https://streetviewpixels-pa.googleapis.com/v1/thumbnail?panoid=gYyw8f4hcP0P66_ZNFMikA&amp;cb_client=search.gws-prod.gps&amp;w=408&amp;h=240&amp;yaw=17.714828&amp;pitch=0&amp;thumbfov=100", "link")</f>
        <v>link</v>
      </c>
    </row>
    <row r="866" spans="1:4" x14ac:dyDescent="0.45">
      <c r="A866" t="s">
        <v>868</v>
      </c>
      <c r="B866">
        <v>34.187043699999997</v>
      </c>
      <c r="C866">
        <v>-118.57148720000001</v>
      </c>
      <c r="D866" t="str">
        <f>HYPERLINK("https://lh5.googleusercontent.com/p/AF1QipMBmwARj7QnTiWZx7T173GB7GPt371zq31ZqszK=w408-h544-k-no", "link")</f>
        <v>link</v>
      </c>
    </row>
    <row r="867" spans="1:4" x14ac:dyDescent="0.45">
      <c r="A867" t="s">
        <v>869</v>
      </c>
      <c r="B867">
        <v>34.182873299999997</v>
      </c>
      <c r="C867">
        <v>-118.5739803</v>
      </c>
      <c r="D867" t="str">
        <f>HYPERLINK("https://streetviewpixels-pa.googleapis.com/v1/thumbnail?panoid=tcp4CY8mR91aUW9dvdPVqA&amp;cb_client=search.gws-prod.gps&amp;w=408&amp;h=240&amp;yaw=330.18182&amp;pitch=0&amp;thumbfov=100", "link")</f>
        <v>link</v>
      </c>
    </row>
    <row r="868" spans="1:4" x14ac:dyDescent="0.45">
      <c r="A868" t="s">
        <v>870</v>
      </c>
      <c r="B868">
        <v>34.187005300000003</v>
      </c>
      <c r="C868">
        <v>-118.55230299999999</v>
      </c>
      <c r="D868" t="str">
        <f>HYPERLINK("https://streetviewpixels-pa.googleapis.com/v1/thumbnail?panoid=LeASRSAMBqfxxq8Clsq2HQ&amp;cb_client=search.gws-prod.gps&amp;w=408&amp;h=240&amp;yaw=9.140797&amp;pitch=0&amp;thumbfov=100", "link")</f>
        <v>link</v>
      </c>
    </row>
    <row r="869" spans="1:4" x14ac:dyDescent="0.45">
      <c r="A869" t="s">
        <v>871</v>
      </c>
      <c r="B869">
        <v>34.1869327</v>
      </c>
      <c r="C869">
        <v>-118.5518014</v>
      </c>
      <c r="D869" t="s">
        <v>5</v>
      </c>
    </row>
    <row r="870" spans="1:4" x14ac:dyDescent="0.45">
      <c r="A870" t="s">
        <v>872</v>
      </c>
      <c r="B870">
        <v>34.435254800000003</v>
      </c>
      <c r="C870">
        <v>-118.4180673</v>
      </c>
      <c r="D870" t="str">
        <f>HYPERLINK("https://streetviewpixels-pa.googleapis.com/v1/thumbnail?panoid=TtxjcubDsMqqwJngo2S_AQ&amp;cb_client=search.gws-prod.gps&amp;w=408&amp;h=240&amp;yaw=107.426636&amp;pitch=0&amp;thumbfov=100", "link")</f>
        <v>link</v>
      </c>
    </row>
    <row r="871" spans="1:4" x14ac:dyDescent="0.45">
      <c r="A871" t="s">
        <v>873</v>
      </c>
      <c r="B871">
        <v>34.434653699999998</v>
      </c>
      <c r="C871">
        <v>-118.4310965</v>
      </c>
      <c r="D871" t="s">
        <v>5</v>
      </c>
    </row>
    <row r="872" spans="1:4" x14ac:dyDescent="0.45">
      <c r="A872" t="s">
        <v>874</v>
      </c>
      <c r="B872">
        <v>34.433421500000001</v>
      </c>
      <c r="C872">
        <v>-118.4321917</v>
      </c>
      <c r="D872" t="s">
        <v>5</v>
      </c>
    </row>
    <row r="873" spans="1:4" x14ac:dyDescent="0.45">
      <c r="A873" t="s">
        <v>875</v>
      </c>
      <c r="B873">
        <v>34.419344000000002</v>
      </c>
      <c r="C873">
        <v>-118.428417</v>
      </c>
      <c r="D873" t="str">
        <f>HYPERLINK("https://streetviewpixels-pa.googleapis.com/v1/thumbnail?panoid=vHhpso8ba8JZJO3rZpQeow&amp;cb_client=search.gws-prod.gps&amp;w=408&amp;h=240&amp;yaw=263.6994&amp;pitch=0&amp;thumbfov=100", "link")</f>
        <v>link</v>
      </c>
    </row>
    <row r="874" spans="1:4" x14ac:dyDescent="0.45">
      <c r="A874" t="s">
        <v>876</v>
      </c>
      <c r="B874">
        <v>34.431563699999998</v>
      </c>
      <c r="C874">
        <v>-118.440879</v>
      </c>
      <c r="D874" t="str">
        <f>HYPERLINK("https://streetviewpixels-pa.googleapis.com/v1/thumbnail?panoid=6zJFz8z6zdpwlk0JYGJxKQ&amp;cb_client=search.gws-prod.gps&amp;w=408&amp;h=240&amp;yaw=131.45085&amp;pitch=0&amp;thumbfov=100", "link")</f>
        <v>link</v>
      </c>
    </row>
    <row r="875" spans="1:4" x14ac:dyDescent="0.45">
      <c r="A875" t="s">
        <v>877</v>
      </c>
      <c r="B875">
        <v>34.4059575</v>
      </c>
      <c r="C875">
        <v>-118.46650510000001</v>
      </c>
      <c r="D875" t="s">
        <v>5</v>
      </c>
    </row>
    <row r="876" spans="1:4" x14ac:dyDescent="0.45">
      <c r="A876" t="s">
        <v>878</v>
      </c>
      <c r="B876">
        <v>34.408317500000003</v>
      </c>
      <c r="C876">
        <v>-118.4697896</v>
      </c>
      <c r="D876" t="str">
        <f>HYPERLINK("https://lh5.googleusercontent.com/p/AF1QipOdJenz7_SZnOJNrXOm1ioutR9pHMygvOjV46VH=w408-h725-k-no", "link")</f>
        <v>link</v>
      </c>
    </row>
    <row r="877" spans="1:4" x14ac:dyDescent="0.45">
      <c r="A877" t="s">
        <v>879</v>
      </c>
      <c r="B877">
        <v>34.392344100000003</v>
      </c>
      <c r="C877">
        <v>-118.4716324</v>
      </c>
      <c r="D877" t="s">
        <v>5</v>
      </c>
    </row>
    <row r="878" spans="1:4" x14ac:dyDescent="0.45">
      <c r="A878" t="s">
        <v>880</v>
      </c>
      <c r="B878">
        <v>34.392254000000001</v>
      </c>
      <c r="C878">
        <v>-118.4717246</v>
      </c>
      <c r="D878" t="s">
        <v>5</v>
      </c>
    </row>
    <row r="879" spans="1:4" x14ac:dyDescent="0.45">
      <c r="A879" t="s">
        <v>881</v>
      </c>
      <c r="B879">
        <v>34.393090899999997</v>
      </c>
      <c r="C879">
        <v>-118.4729201</v>
      </c>
      <c r="D879" t="str">
        <f>HYPERLINK("https://streetviewpixels-pa.googleapis.com/v1/thumbnail?panoid=OSRARR7U06vXTSNErMCBXA&amp;cb_client=search.gws-prod.gps&amp;w=408&amp;h=240&amp;yaw=19.237476&amp;pitch=0&amp;thumbfov=100", "link")</f>
        <v>link</v>
      </c>
    </row>
    <row r="880" spans="1:4" x14ac:dyDescent="0.45">
      <c r="A880" t="s">
        <v>882</v>
      </c>
      <c r="B880">
        <v>34.391752499999903</v>
      </c>
      <c r="C880">
        <v>-118.47266949999999</v>
      </c>
      <c r="D880" t="str">
        <f>HYPERLINK("https://streetviewpixels-pa.googleapis.com/v1/thumbnail?panoid=gh048D7nIzDEB9dwhSIveg&amp;cb_client=search.gws-prod.gps&amp;w=408&amp;h=240&amp;yaw=59.83936&amp;pitch=0&amp;thumbfov=100", "link")</f>
        <v>link</v>
      </c>
    </row>
    <row r="881" spans="1:4" x14ac:dyDescent="0.45">
      <c r="A881" t="s">
        <v>883</v>
      </c>
      <c r="B881">
        <v>34.433770699999997</v>
      </c>
      <c r="C881">
        <v>-118.5227053</v>
      </c>
      <c r="D881" t="s">
        <v>5</v>
      </c>
    </row>
    <row r="882" spans="1:4" x14ac:dyDescent="0.45">
      <c r="A882" t="s">
        <v>884</v>
      </c>
      <c r="B882">
        <v>34.364560099999998</v>
      </c>
      <c r="C882">
        <v>-118.5012117</v>
      </c>
      <c r="D882" t="s">
        <v>5</v>
      </c>
    </row>
    <row r="883" spans="1:4" x14ac:dyDescent="0.45">
      <c r="A883" t="s">
        <v>885</v>
      </c>
      <c r="B883">
        <v>34.365180799999997</v>
      </c>
      <c r="C883">
        <v>-118.50701170000001</v>
      </c>
      <c r="D883" t="str">
        <f>HYPERLINK("https://lh5.googleusercontent.com/p/AF1QipP6keXbCwnae_mO5Zwj30Ql9QOzIrCdAMc5G8M3=w480-h240-k-no", "link")</f>
        <v>link</v>
      </c>
    </row>
    <row r="884" spans="1:4" x14ac:dyDescent="0.45">
      <c r="A884" t="s">
        <v>886</v>
      </c>
      <c r="B884">
        <v>34.365032900000003</v>
      </c>
      <c r="C884">
        <v>-118.5070642</v>
      </c>
      <c r="D884" t="str">
        <f>HYPERLINK("https://streetviewpixels-pa.googleapis.com/v1/thumbnail?panoid=f0Z8WTGU2jTGwECyjW2p7g&amp;cb_client=search.gws-prod.gps&amp;w=408&amp;h=240&amp;yaw=309.89212&amp;pitch=0&amp;thumbfov=100", "link")</f>
        <v>link</v>
      </c>
    </row>
    <row r="885" spans="1:4" x14ac:dyDescent="0.45">
      <c r="A885" t="s">
        <v>887</v>
      </c>
      <c r="B885">
        <v>34.443206400000001</v>
      </c>
      <c r="C885">
        <v>-118.5189196</v>
      </c>
      <c r="D885" t="s">
        <v>5</v>
      </c>
    </row>
    <row r="886" spans="1:4" x14ac:dyDescent="0.45">
      <c r="A886" t="s">
        <v>888</v>
      </c>
      <c r="B886">
        <v>34.379653400000002</v>
      </c>
      <c r="C886">
        <v>-118.5273042</v>
      </c>
      <c r="D886" t="s">
        <v>5</v>
      </c>
    </row>
    <row r="887" spans="1:4" x14ac:dyDescent="0.45">
      <c r="A887" t="s">
        <v>889</v>
      </c>
      <c r="B887">
        <v>34.3787181</v>
      </c>
      <c r="C887">
        <v>-118.5266276</v>
      </c>
      <c r="D887" t="s">
        <v>5</v>
      </c>
    </row>
    <row r="888" spans="1:4" x14ac:dyDescent="0.45">
      <c r="A888" t="s">
        <v>890</v>
      </c>
      <c r="B888">
        <v>34.379648199999998</v>
      </c>
      <c r="C888">
        <v>-118.52735730000001</v>
      </c>
      <c r="D888" t="s">
        <v>5</v>
      </c>
    </row>
    <row r="889" spans="1:4" x14ac:dyDescent="0.45">
      <c r="A889" t="s">
        <v>891</v>
      </c>
      <c r="B889">
        <v>34.381018899999901</v>
      </c>
      <c r="C889">
        <v>-118.5288257</v>
      </c>
      <c r="D889" t="str">
        <f>HYPERLINK("https://lh5.googleusercontent.com/p/AF1QipM0HuGhJKtr7Z7_a1SgaUpICSiaoUwgykcbVcBf=w408-h306-k-no", "link")</f>
        <v>link</v>
      </c>
    </row>
    <row r="890" spans="1:4" x14ac:dyDescent="0.45">
      <c r="A890" t="s">
        <v>892</v>
      </c>
      <c r="B890">
        <v>34.378152999999998</v>
      </c>
      <c r="C890">
        <v>-118.5271293</v>
      </c>
      <c r="D890" t="str">
        <f>HYPERLINK("https://streetviewpixels-pa.googleapis.com/v1/thumbnail?panoid=IynahnjtGx1B0eNN9_5KVQ&amp;cb_client=search.gws-prod.gps&amp;w=408&amp;h=240&amp;yaw=205.71738&amp;pitch=0&amp;thumbfov=100", "link")</f>
        <v>link</v>
      </c>
    </row>
    <row r="891" spans="1:4" x14ac:dyDescent="0.45">
      <c r="A891" t="s">
        <v>893</v>
      </c>
      <c r="B891">
        <v>34.377471099999902</v>
      </c>
      <c r="C891">
        <v>-118.5266742</v>
      </c>
      <c r="D891" t="str">
        <f>HYPERLINK("https://streetviewpixels-pa.googleapis.com/v1/thumbnail?panoid=8yrIkCzw2HQLWOK8TYRUhg&amp;cb_client=search.gws-prod.gps&amp;w=408&amp;h=240&amp;yaw=174.62614&amp;pitch=0&amp;thumbfov=100", "link")</f>
        <v>link</v>
      </c>
    </row>
    <row r="892" spans="1:4" x14ac:dyDescent="0.45">
      <c r="A892" t="s">
        <v>894</v>
      </c>
      <c r="B892">
        <v>34.4340568</v>
      </c>
      <c r="C892">
        <v>-118.5303674</v>
      </c>
      <c r="D892" t="str">
        <f>HYPERLINK("https://lh5.googleusercontent.com/p/AF1QipOxLvNf9N7DAxvtCw-B7c3j_ZB1dOZeJws4ksZ1=w408-h306-k-no", "link")</f>
        <v>link</v>
      </c>
    </row>
    <row r="893" spans="1:4" x14ac:dyDescent="0.45">
      <c r="A893" t="s">
        <v>895</v>
      </c>
      <c r="B893">
        <v>34.423847500000001</v>
      </c>
      <c r="C893">
        <v>-118.5354754</v>
      </c>
      <c r="D893" t="s">
        <v>5</v>
      </c>
    </row>
    <row r="894" spans="1:4" x14ac:dyDescent="0.45">
      <c r="A894" t="s">
        <v>896</v>
      </c>
      <c r="B894">
        <v>34.427986300000001</v>
      </c>
      <c r="C894">
        <v>-118.5354754</v>
      </c>
      <c r="D894" t="str">
        <f>HYPERLINK("https://lh5.googleusercontent.com/p/AF1QipO9sj41tfS3msP5KcPIx0BnonzaP4b04RuPtWDG=w408-h306-k-no", "link")</f>
        <v>link</v>
      </c>
    </row>
    <row r="895" spans="1:4" x14ac:dyDescent="0.45">
      <c r="A895" t="s">
        <v>897</v>
      </c>
      <c r="B895">
        <v>34.411644600000002</v>
      </c>
      <c r="C895">
        <v>-118.5412216</v>
      </c>
      <c r="D895" t="s">
        <v>5</v>
      </c>
    </row>
    <row r="896" spans="1:4" x14ac:dyDescent="0.45">
      <c r="A896" t="s">
        <v>898</v>
      </c>
      <c r="B896">
        <v>34.428889699999999</v>
      </c>
      <c r="C896">
        <v>-118.5369347</v>
      </c>
      <c r="D896" t="s">
        <v>5</v>
      </c>
    </row>
    <row r="897" spans="1:4" x14ac:dyDescent="0.45">
      <c r="A897" t="s">
        <v>899</v>
      </c>
      <c r="B897">
        <v>34.381318999999998</v>
      </c>
      <c r="C897">
        <v>-118.538524</v>
      </c>
      <c r="D897" t="s">
        <v>5</v>
      </c>
    </row>
    <row r="898" spans="1:4" x14ac:dyDescent="0.45">
      <c r="A898" t="s">
        <v>900</v>
      </c>
      <c r="B898">
        <v>34.421643199999998</v>
      </c>
      <c r="C898">
        <v>-118.5445242</v>
      </c>
      <c r="D898" t="str">
        <f>HYPERLINK("https://streetviewpixels-pa.googleapis.com/v1/thumbnail?panoid=45eXJ0UX3qDglTIECLBnWA&amp;cb_client=search.gws-prod.gps&amp;w=408&amp;h=240&amp;yaw=67.82752&amp;pitch=0&amp;thumbfov=100", "link")</f>
        <v>link</v>
      </c>
    </row>
    <row r="899" spans="1:4" x14ac:dyDescent="0.45">
      <c r="A899" t="s">
        <v>901</v>
      </c>
      <c r="B899">
        <v>34.443395199999998</v>
      </c>
      <c r="C899">
        <v>-118.53465439999999</v>
      </c>
      <c r="D899" t="s">
        <v>5</v>
      </c>
    </row>
    <row r="900" spans="1:4" x14ac:dyDescent="0.45">
      <c r="A900" t="s">
        <v>902</v>
      </c>
      <c r="B900">
        <v>34.442408800000003</v>
      </c>
      <c r="C900">
        <v>-118.5366611</v>
      </c>
      <c r="D900" t="s">
        <v>5</v>
      </c>
    </row>
    <row r="901" spans="1:4" x14ac:dyDescent="0.45">
      <c r="A901" t="s">
        <v>903</v>
      </c>
      <c r="B901">
        <v>34.409696699999998</v>
      </c>
      <c r="C901">
        <v>-118.4992604</v>
      </c>
      <c r="D901" t="s">
        <v>5</v>
      </c>
    </row>
    <row r="902" spans="1:4" x14ac:dyDescent="0.45">
      <c r="A902" t="s">
        <v>904</v>
      </c>
      <c r="B902">
        <v>34.411926200000003</v>
      </c>
      <c r="C902">
        <v>-118.4992604</v>
      </c>
      <c r="D902" t="s">
        <v>5</v>
      </c>
    </row>
    <row r="903" spans="1:4" x14ac:dyDescent="0.45">
      <c r="A903" t="s">
        <v>905</v>
      </c>
      <c r="B903">
        <v>34.412640400000001</v>
      </c>
      <c r="C903">
        <v>-118.49989909999999</v>
      </c>
      <c r="D903" t="s">
        <v>5</v>
      </c>
    </row>
    <row r="904" spans="1:4" x14ac:dyDescent="0.45">
      <c r="A904" t="s">
        <v>906</v>
      </c>
      <c r="B904">
        <v>34.412157800000003</v>
      </c>
      <c r="C904">
        <v>-118.5011763</v>
      </c>
      <c r="D904" t="s">
        <v>5</v>
      </c>
    </row>
    <row r="905" spans="1:4" x14ac:dyDescent="0.45">
      <c r="A905" t="s">
        <v>907</v>
      </c>
      <c r="B905">
        <v>34.414656200000003</v>
      </c>
      <c r="C905">
        <v>-118.5252594</v>
      </c>
      <c r="D905" t="str">
        <f>HYPERLINK("https://lh5.googleusercontent.com/p/AF1QipMQNaEVycLT42IRxkKslWPyuHiDqhYPbwZEzd9K=w408-h544-k-no", "link")</f>
        <v>link</v>
      </c>
    </row>
    <row r="906" spans="1:4" x14ac:dyDescent="0.45">
      <c r="A906" t="s">
        <v>908</v>
      </c>
      <c r="B906">
        <v>34.414686699999898</v>
      </c>
      <c r="C906">
        <v>-118.5254156</v>
      </c>
      <c r="D906" t="str">
        <f>HYPERLINK("https://lh5.googleusercontent.com/p/AF1QipMQNaEVycLT42IRxkKslWPyuHiDqhYPbwZEzd9K=w408-h544-k-no", "link")</f>
        <v>link</v>
      </c>
    </row>
    <row r="907" spans="1:4" x14ac:dyDescent="0.45">
      <c r="A907" t="s">
        <v>909</v>
      </c>
      <c r="B907">
        <v>34.432297400000003</v>
      </c>
      <c r="C907">
        <v>-118.5187828</v>
      </c>
      <c r="D907" t="s">
        <v>5</v>
      </c>
    </row>
    <row r="908" spans="1:4" x14ac:dyDescent="0.45">
      <c r="A908" t="s">
        <v>910</v>
      </c>
      <c r="B908">
        <v>34.444070000000004</v>
      </c>
      <c r="C908">
        <v>-118.51108790000001</v>
      </c>
      <c r="D908" t="str">
        <f>HYPERLINK("https://streetviewpixels-pa.googleapis.com/v1/thumbnail?panoid=IF4bUF6RWqMAGDtpcqMTag&amp;cb_client=search.gws-prod.gps&amp;w=408&amp;h=240&amp;yaw=305.75485&amp;pitch=0&amp;thumbfov=100", "link")</f>
        <v>link</v>
      </c>
    </row>
    <row r="909" spans="1:4" x14ac:dyDescent="0.45">
      <c r="A909" t="s">
        <v>911</v>
      </c>
      <c r="B909">
        <v>34.364999399999903</v>
      </c>
      <c r="C909">
        <v>-118.5009026</v>
      </c>
      <c r="D909" t="s">
        <v>5</v>
      </c>
    </row>
    <row r="910" spans="1:4" x14ac:dyDescent="0.45">
      <c r="A910" t="s">
        <v>912</v>
      </c>
      <c r="B910">
        <v>34.442080900000001</v>
      </c>
      <c r="C910">
        <v>-118.53818889999999</v>
      </c>
      <c r="D910" t="s">
        <v>5</v>
      </c>
    </row>
    <row r="911" spans="1:4" x14ac:dyDescent="0.45">
      <c r="A911" t="s">
        <v>913</v>
      </c>
      <c r="B911">
        <v>34.446485699999997</v>
      </c>
      <c r="C911">
        <v>-118.5350193</v>
      </c>
      <c r="D911" t="s">
        <v>5</v>
      </c>
    </row>
    <row r="912" spans="1:4" x14ac:dyDescent="0.45">
      <c r="A912" t="s">
        <v>914</v>
      </c>
      <c r="B912">
        <v>34.405607400000001</v>
      </c>
      <c r="C912">
        <v>-118.5672139</v>
      </c>
      <c r="D912" t="s">
        <v>5</v>
      </c>
    </row>
    <row r="913" spans="1:4" x14ac:dyDescent="0.45">
      <c r="A913" t="s">
        <v>915</v>
      </c>
      <c r="B913">
        <v>34.407014099999998</v>
      </c>
      <c r="C913">
        <v>-118.5679434</v>
      </c>
      <c r="D913" t="s">
        <v>5</v>
      </c>
    </row>
    <row r="914" spans="1:4" x14ac:dyDescent="0.45">
      <c r="A914" t="s">
        <v>916</v>
      </c>
      <c r="B914">
        <v>34.406264399999998</v>
      </c>
      <c r="C914">
        <v>-118.567761</v>
      </c>
      <c r="D914" t="s">
        <v>5</v>
      </c>
    </row>
    <row r="915" spans="1:4" x14ac:dyDescent="0.45">
      <c r="A915" t="s">
        <v>917</v>
      </c>
      <c r="B915">
        <v>34.403799800000002</v>
      </c>
      <c r="C915">
        <v>-118.5671227</v>
      </c>
      <c r="D915" t="s">
        <v>5</v>
      </c>
    </row>
    <row r="916" spans="1:4" x14ac:dyDescent="0.45">
      <c r="A916" t="s">
        <v>918</v>
      </c>
      <c r="B916">
        <v>34.407999699999998</v>
      </c>
      <c r="C916">
        <v>-118.5684677</v>
      </c>
      <c r="D916" t="s">
        <v>5</v>
      </c>
    </row>
    <row r="917" spans="1:4" x14ac:dyDescent="0.45">
      <c r="A917" t="s">
        <v>919</v>
      </c>
      <c r="B917">
        <v>34.403866399999998</v>
      </c>
      <c r="C917">
        <v>-118.5674874</v>
      </c>
      <c r="D917" t="s">
        <v>5</v>
      </c>
    </row>
    <row r="918" spans="1:4" x14ac:dyDescent="0.45">
      <c r="A918" t="s">
        <v>920</v>
      </c>
      <c r="B918">
        <v>34.4051653</v>
      </c>
      <c r="C918">
        <v>-118.5681714</v>
      </c>
      <c r="D918" t="s">
        <v>5</v>
      </c>
    </row>
    <row r="919" spans="1:4" x14ac:dyDescent="0.45">
      <c r="A919" t="s">
        <v>921</v>
      </c>
      <c r="B919">
        <v>34.406408300000002</v>
      </c>
      <c r="C919">
        <v>-118.56868609999999</v>
      </c>
      <c r="D919" t="str">
        <f>HYPERLINK("https://streetviewpixels-pa.googleapis.com/v1/thumbnail?panoid=1NwumdNVQ33Yt_jsbGfS0w&amp;cb_client=search.gws-prod.gps&amp;w=408&amp;h=240&amp;yaw=276.6696&amp;pitch=0&amp;thumbfov=100", "link")</f>
        <v>link</v>
      </c>
    </row>
    <row r="920" spans="1:4" x14ac:dyDescent="0.45">
      <c r="A920" t="s">
        <v>922</v>
      </c>
      <c r="B920">
        <v>34.4518579</v>
      </c>
      <c r="C920">
        <v>-118.52826949999999</v>
      </c>
      <c r="D920" t="s">
        <v>5</v>
      </c>
    </row>
    <row r="921" spans="1:4" x14ac:dyDescent="0.45">
      <c r="A921" t="s">
        <v>923</v>
      </c>
      <c r="B921">
        <v>34.413592399999999</v>
      </c>
      <c r="C921">
        <v>-118.55106550000001</v>
      </c>
      <c r="D921" t="str">
        <f>HYPERLINK("https://streetviewpixels-pa.googleapis.com/v1/thumbnail?panoid=cqw7zzulhLIx5IpSeYIu4A&amp;cb_client=search.gws-prod.gps&amp;w=408&amp;h=240&amp;yaw=318.9721&amp;pitch=0&amp;thumbfov=100", "link")</f>
        <v>link</v>
      </c>
    </row>
    <row r="922" spans="1:4" x14ac:dyDescent="0.45">
      <c r="A922" t="s">
        <v>924</v>
      </c>
      <c r="B922">
        <v>34.413869400000003</v>
      </c>
      <c r="C922">
        <v>-118.5553582</v>
      </c>
      <c r="D922" t="s">
        <v>5</v>
      </c>
    </row>
    <row r="923" spans="1:4" x14ac:dyDescent="0.45">
      <c r="A923" t="s">
        <v>925</v>
      </c>
      <c r="B923">
        <v>34.414104299999998</v>
      </c>
      <c r="C923">
        <v>-118.5588238</v>
      </c>
      <c r="D923" t="s">
        <v>5</v>
      </c>
    </row>
    <row r="924" spans="1:4" x14ac:dyDescent="0.45">
      <c r="A924" t="s">
        <v>926</v>
      </c>
      <c r="B924">
        <v>34.397869999999998</v>
      </c>
      <c r="C924">
        <v>-118.55394459999999</v>
      </c>
      <c r="D924" t="str">
        <f>HYPERLINK("https://streetviewpixels-pa.googleapis.com/v1/thumbnail?panoid=Ui-SjT6VTpLQxWU7JIBjfQ&amp;cb_client=search.gws-prod.gps&amp;w=408&amp;h=240&amp;yaw=146.6005&amp;pitch=0&amp;thumbfov=100", "link")</f>
        <v>link</v>
      </c>
    </row>
    <row r="925" spans="1:4" x14ac:dyDescent="0.45">
      <c r="A925" t="s">
        <v>927</v>
      </c>
      <c r="B925">
        <v>34.400753600000002</v>
      </c>
      <c r="C925">
        <v>-118.5687557</v>
      </c>
      <c r="D925" t="str">
        <f>HYPERLINK("https://streetviewpixels-pa.googleapis.com/v1/thumbnail?panoid=52bktgMp1orwxCpf_CP61Q&amp;cb_client=search.gws-prod.gps&amp;w=408&amp;h=240&amp;yaw=313.6196&amp;pitch=0&amp;thumbfov=100", "link")</f>
        <v>link</v>
      </c>
    </row>
    <row r="926" spans="1:4" x14ac:dyDescent="0.45">
      <c r="A926" t="s">
        <v>928</v>
      </c>
      <c r="B926">
        <v>34.401919999999997</v>
      </c>
      <c r="C926">
        <v>-118.5679434</v>
      </c>
      <c r="D926" t="s">
        <v>5</v>
      </c>
    </row>
    <row r="927" spans="1:4" x14ac:dyDescent="0.45">
      <c r="A927" t="s">
        <v>929</v>
      </c>
      <c r="B927">
        <v>34.400501800000001</v>
      </c>
      <c r="C927">
        <v>-118.5697673</v>
      </c>
      <c r="D927" t="s">
        <v>5</v>
      </c>
    </row>
    <row r="928" spans="1:4" x14ac:dyDescent="0.45">
      <c r="A928" t="s">
        <v>930</v>
      </c>
      <c r="B928">
        <v>34.402258499999903</v>
      </c>
      <c r="C928">
        <v>-118.5685277</v>
      </c>
      <c r="D928" t="str">
        <f>HYPERLINK("https://streetviewpixels-pa.googleapis.com/v1/thumbnail?panoid=KoE_f9urXEpo-95eAGE5Eg&amp;cb_client=search.gws-prod.gps&amp;w=408&amp;h=240&amp;yaw=349.11282&amp;pitch=0&amp;thumbfov=100", "link")</f>
        <v>link</v>
      </c>
    </row>
    <row r="929" spans="1:4" x14ac:dyDescent="0.45">
      <c r="A929" t="s">
        <v>931</v>
      </c>
      <c r="B929">
        <v>34.4017718999999</v>
      </c>
      <c r="C929">
        <v>-118.57068049999999</v>
      </c>
      <c r="D929" t="str">
        <f>HYPERLINK("https://streetviewpixels-pa.googleapis.com/v1/thumbnail?panoid=st2wpVtF_A4LOCXaBYEbYQ&amp;cb_client=search.gws-prod.gps&amp;w=408&amp;h=240&amp;yaw=351.81235&amp;pitch=0&amp;thumbfov=100", "link")</f>
        <v>link</v>
      </c>
    </row>
    <row r="930" spans="1:4" x14ac:dyDescent="0.45">
      <c r="A930" t="s">
        <v>932</v>
      </c>
      <c r="B930">
        <v>34.402211100000002</v>
      </c>
      <c r="C930">
        <v>-118.57149990000001</v>
      </c>
      <c r="D930" t="s">
        <v>5</v>
      </c>
    </row>
    <row r="931" spans="1:4" x14ac:dyDescent="0.45">
      <c r="A931" t="s">
        <v>933</v>
      </c>
      <c r="B931">
        <v>34.402894199999999</v>
      </c>
      <c r="C931">
        <v>-118.57131750000001</v>
      </c>
      <c r="D931" t="s">
        <v>5</v>
      </c>
    </row>
    <row r="932" spans="1:4" x14ac:dyDescent="0.45">
      <c r="A932" t="s">
        <v>934</v>
      </c>
      <c r="B932">
        <v>34.358494999999898</v>
      </c>
      <c r="C932">
        <v>-118.555588</v>
      </c>
      <c r="D932" t="str">
        <f>HYPERLINK("https://lh5.googleusercontent.com/p/AF1QipNdDmEh5-DQfWab5FLCtQbnLWmD3DQPyPj8AiQ-=w426-h240-k-no", "link")</f>
        <v>link</v>
      </c>
    </row>
    <row r="933" spans="1:4" x14ac:dyDescent="0.45">
      <c r="A933" t="s">
        <v>935</v>
      </c>
      <c r="B933">
        <v>34.357823699999997</v>
      </c>
      <c r="C933">
        <v>-118.5569086</v>
      </c>
      <c r="D933" t="s">
        <v>5</v>
      </c>
    </row>
    <row r="934" spans="1:4" x14ac:dyDescent="0.45">
      <c r="A934" t="s">
        <v>936</v>
      </c>
      <c r="B934">
        <v>34.378924900000001</v>
      </c>
      <c r="C934">
        <v>-118.5691271</v>
      </c>
      <c r="D934" t="str">
        <f>HYPERLINK("https://streetviewpixels-pa.googleapis.com/v1/thumbnail?panoid=xoUoXNVTJjGEpMKRr7T1Tw&amp;cb_client=search.gws-prod.gps&amp;w=408&amp;h=240&amp;yaw=301.3082&amp;pitch=0&amp;thumbfov=100", "link")</f>
        <v>link</v>
      </c>
    </row>
    <row r="935" spans="1:4" x14ac:dyDescent="0.45">
      <c r="A935" t="s">
        <v>937</v>
      </c>
      <c r="B935">
        <v>34.349986999999999</v>
      </c>
      <c r="C935">
        <v>-118.54903</v>
      </c>
      <c r="D935" t="str">
        <f>HYPERLINK("https://lh5.googleusercontent.com/p/AF1QipP7LItr6XQm4JrQ9JVJPlpGdIDP-kZluBM1w4aa=w408-h306-k-no", "link")</f>
        <v>link</v>
      </c>
    </row>
    <row r="936" spans="1:4" x14ac:dyDescent="0.45">
      <c r="A936" t="s">
        <v>938</v>
      </c>
      <c r="B936">
        <v>34.391509599999999</v>
      </c>
      <c r="C936">
        <v>-118.5691289</v>
      </c>
      <c r="D936" t="s">
        <v>5</v>
      </c>
    </row>
    <row r="937" spans="1:4" x14ac:dyDescent="0.45">
      <c r="A937" t="s">
        <v>939</v>
      </c>
      <c r="B937">
        <v>34.403371700000001</v>
      </c>
      <c r="C937">
        <v>-118.57131750000001</v>
      </c>
      <c r="D937" t="s">
        <v>5</v>
      </c>
    </row>
    <row r="938" spans="1:4" x14ac:dyDescent="0.45">
      <c r="A938" t="s">
        <v>940</v>
      </c>
      <c r="B938">
        <v>33.878917800000004</v>
      </c>
      <c r="C938">
        <v>-118.2600388</v>
      </c>
      <c r="D938" t="str">
        <f>HYPERLINK("https://streetviewpixels-pa.googleapis.com/v1/thumbnail?panoid=iM9ZOJPy8rGSwnQxKGipWQ&amp;cb_client=search.gws-prod.gps&amp;w=408&amp;h=240&amp;yaw=44.271236&amp;pitch=0&amp;thumbfov=100", "link")</f>
        <v>link</v>
      </c>
    </row>
    <row r="939" spans="1:4" x14ac:dyDescent="0.45">
      <c r="A939" t="s">
        <v>941</v>
      </c>
      <c r="B939">
        <v>33.882995999999899</v>
      </c>
      <c r="C939">
        <v>-118.2514467</v>
      </c>
      <c r="D939" t="str">
        <f>HYPERLINK("https://streetviewpixels-pa.googleapis.com/v1/thumbnail?panoid=o8owuWdrl2pBNRukBw1XlQ&amp;cb_client=search.gws-prod.gps&amp;w=408&amp;h=240&amp;yaw=202.02531&amp;pitch=0&amp;thumbfov=100", "link")</f>
        <v>link</v>
      </c>
    </row>
    <row r="940" spans="1:4" x14ac:dyDescent="0.45">
      <c r="A940" t="s">
        <v>942</v>
      </c>
      <c r="B940">
        <v>33.879753099999903</v>
      </c>
      <c r="C940">
        <v>-118.24334279999999</v>
      </c>
      <c r="D940" t="s">
        <v>5</v>
      </c>
    </row>
    <row r="941" spans="1:4" x14ac:dyDescent="0.45">
      <c r="A941" t="s">
        <v>943</v>
      </c>
      <c r="B941">
        <v>33.866293900000002</v>
      </c>
      <c r="C941">
        <v>-118.2587831</v>
      </c>
      <c r="D941" t="str">
        <f>HYPERLINK("https://streetviewpixels-pa.googleapis.com/v1/thumbnail?panoid=x0QCQfE5uRbS9uXyrcT6BA&amp;cb_client=search.gws-prod.gps&amp;w=408&amp;h=240&amp;yaw=191.44733&amp;pitch=0&amp;thumbfov=100", "link")</f>
        <v>link</v>
      </c>
    </row>
    <row r="942" spans="1:4" x14ac:dyDescent="0.45">
      <c r="A942" t="s">
        <v>944</v>
      </c>
      <c r="B942">
        <v>33.866312399999998</v>
      </c>
      <c r="C942">
        <v>-118.25869230000001</v>
      </c>
      <c r="D942" t="str">
        <f>HYPERLINK("https://streetviewpixels-pa.googleapis.com/v1/thumbnail?panoid=x0QCQfE5uRbS9uXyrcT6BA&amp;cb_client=search.gws-prod.gps&amp;w=408&amp;h=240&amp;yaw=191.44733&amp;pitch=0&amp;thumbfov=100", "link")</f>
        <v>link</v>
      </c>
    </row>
    <row r="943" spans="1:4" x14ac:dyDescent="0.45">
      <c r="A943" t="s">
        <v>945</v>
      </c>
      <c r="B943">
        <v>33.864199800000002</v>
      </c>
      <c r="C943">
        <v>-118.2587094</v>
      </c>
      <c r="D943" t="s">
        <v>5</v>
      </c>
    </row>
    <row r="944" spans="1:4" x14ac:dyDescent="0.45">
      <c r="A944" t="s">
        <v>946</v>
      </c>
      <c r="B944">
        <v>33.866341800000001</v>
      </c>
      <c r="C944">
        <v>-118.26179860000001</v>
      </c>
      <c r="D944" t="s">
        <v>5</v>
      </c>
    </row>
    <row r="945" spans="1:4" x14ac:dyDescent="0.45">
      <c r="A945" t="s">
        <v>947</v>
      </c>
      <c r="B945">
        <v>33.866183999999997</v>
      </c>
      <c r="C945">
        <v>-118.2630776</v>
      </c>
      <c r="D945" t="s">
        <v>5</v>
      </c>
    </row>
    <row r="946" spans="1:4" x14ac:dyDescent="0.45">
      <c r="A946" t="s">
        <v>948</v>
      </c>
      <c r="B946">
        <v>33.862911099999998</v>
      </c>
      <c r="C946">
        <v>-118.256728</v>
      </c>
      <c r="D946" t="s">
        <v>5</v>
      </c>
    </row>
    <row r="947" spans="1:4" x14ac:dyDescent="0.45">
      <c r="A947" t="s">
        <v>949</v>
      </c>
      <c r="B947">
        <v>33.864948900000002</v>
      </c>
      <c r="C947">
        <v>-118.264174</v>
      </c>
      <c r="D947" t="s">
        <v>5</v>
      </c>
    </row>
    <row r="948" spans="1:4" x14ac:dyDescent="0.45">
      <c r="A948" t="s">
        <v>950</v>
      </c>
      <c r="B948">
        <v>33.8663223</v>
      </c>
      <c r="C948">
        <v>-118.2531024</v>
      </c>
      <c r="D948" t="s">
        <v>5</v>
      </c>
    </row>
    <row r="949" spans="1:4" x14ac:dyDescent="0.45">
      <c r="A949" t="s">
        <v>951</v>
      </c>
      <c r="B949">
        <v>33.865956599999997</v>
      </c>
      <c r="C949">
        <v>-118.2530278</v>
      </c>
      <c r="D949" t="s">
        <v>5</v>
      </c>
    </row>
    <row r="950" spans="1:4" x14ac:dyDescent="0.45">
      <c r="A950" t="s">
        <v>952</v>
      </c>
      <c r="B950">
        <v>33.866256100000001</v>
      </c>
      <c r="C950">
        <v>-118.2647221</v>
      </c>
      <c r="D950" t="s">
        <v>5</v>
      </c>
    </row>
    <row r="951" spans="1:4" x14ac:dyDescent="0.45">
      <c r="A951" t="s">
        <v>953</v>
      </c>
      <c r="B951">
        <v>33.864673400000001</v>
      </c>
      <c r="C951">
        <v>-118.2530278</v>
      </c>
      <c r="D951" t="s">
        <v>5</v>
      </c>
    </row>
    <row r="952" spans="1:4" x14ac:dyDescent="0.45">
      <c r="A952" t="s">
        <v>954</v>
      </c>
      <c r="B952">
        <v>33.862068600000001</v>
      </c>
      <c r="C952">
        <v>-118.2621358</v>
      </c>
      <c r="D952" t="s">
        <v>5</v>
      </c>
    </row>
    <row r="953" spans="1:4" x14ac:dyDescent="0.45">
      <c r="A953" t="s">
        <v>955</v>
      </c>
      <c r="B953">
        <v>33.866320100000003</v>
      </c>
      <c r="C953">
        <v>-118.2515659</v>
      </c>
      <c r="D953" t="s">
        <v>5</v>
      </c>
    </row>
    <row r="954" spans="1:4" x14ac:dyDescent="0.45">
      <c r="A954" t="s">
        <v>956</v>
      </c>
      <c r="B954">
        <v>33.865753699999999</v>
      </c>
      <c r="C954">
        <v>-118.2515744</v>
      </c>
      <c r="D954" t="str">
        <f>HYPERLINK("https://streetviewpixels-pa.googleapis.com/v1/thumbnail?panoid=O6qetAru_ZQLAmwiqQILrg&amp;cb_client=search.gws-prod.gps&amp;w=408&amp;h=240&amp;yaw=16.493052&amp;pitch=0&amp;thumbfov=100", "link")</f>
        <v>link</v>
      </c>
    </row>
    <row r="955" spans="1:4" x14ac:dyDescent="0.45">
      <c r="A955" t="s">
        <v>957</v>
      </c>
      <c r="B955">
        <v>33.862059099999897</v>
      </c>
      <c r="C955">
        <v>-118.25327299999999</v>
      </c>
      <c r="D955" t="str">
        <f>HYPERLINK("https://lh5.googleusercontent.com/p/AF1QipOnt5kiPHlaP4iPySyXYL1oKr75GBuNOoUT-pMV=w426-h240-k-no", "link")</f>
        <v>link</v>
      </c>
    </row>
    <row r="956" spans="1:4" x14ac:dyDescent="0.45">
      <c r="A956" t="s">
        <v>958</v>
      </c>
      <c r="B956">
        <v>33.862106799999999</v>
      </c>
      <c r="C956">
        <v>-118.2530278</v>
      </c>
      <c r="D956" t="str">
        <f>HYPERLINK("https://lh5.googleusercontent.com/p/AF1QipOnt5kiPHlaP4iPySyXYL1oKr75GBuNOoUT-pMV=w426-h240-k-no", "link")</f>
        <v>link</v>
      </c>
    </row>
    <row r="957" spans="1:4" x14ac:dyDescent="0.45">
      <c r="A957" t="s">
        <v>959</v>
      </c>
      <c r="B957">
        <v>33.860211499999998</v>
      </c>
      <c r="C957">
        <v>-118.25613420000001</v>
      </c>
      <c r="D957" t="s">
        <v>5</v>
      </c>
    </row>
    <row r="958" spans="1:4" x14ac:dyDescent="0.45">
      <c r="A958" t="s">
        <v>960</v>
      </c>
      <c r="B958">
        <v>33.859510399999898</v>
      </c>
      <c r="C958">
        <v>-118.2562801</v>
      </c>
      <c r="D958" t="str">
        <f>HYPERLINK("https://lh5.googleusercontent.com/p/AF1QipM9wxPxYV8bQ1pTXujWdRAUq614dmPbhtUeQ2U6=w408-h725-k-no", "link")</f>
        <v>link</v>
      </c>
    </row>
    <row r="959" spans="1:4" x14ac:dyDescent="0.45">
      <c r="A959" t="s">
        <v>961</v>
      </c>
      <c r="B959">
        <v>33.858981700000001</v>
      </c>
      <c r="C959">
        <v>-118.2589103</v>
      </c>
      <c r="D959" t="str">
        <f>HYPERLINK("https://streetviewpixels-pa.googleapis.com/v1/thumbnail?panoid=XGWN6hTaGeU_7mzKuDtTXg&amp;cb_client=search.gws-prod.gps&amp;w=408&amp;h=240&amp;yaw=70.60316&amp;pitch=0&amp;thumbfov=100", "link")</f>
        <v>link</v>
      </c>
    </row>
    <row r="960" spans="1:4" x14ac:dyDescent="0.45">
      <c r="A960" t="s">
        <v>962</v>
      </c>
      <c r="B960">
        <v>33.8646604999999</v>
      </c>
      <c r="C960">
        <v>-118.24891</v>
      </c>
      <c r="D960" t="s">
        <v>5</v>
      </c>
    </row>
    <row r="961" spans="1:4" x14ac:dyDescent="0.45">
      <c r="A961" t="s">
        <v>963</v>
      </c>
      <c r="B961">
        <v>33.830994799999999</v>
      </c>
      <c r="C961">
        <v>-118.2643401</v>
      </c>
      <c r="D961" t="s">
        <v>5</v>
      </c>
    </row>
    <row r="962" spans="1:4" x14ac:dyDescent="0.45">
      <c r="A962" t="s">
        <v>964</v>
      </c>
      <c r="B962">
        <v>33.831168499999997</v>
      </c>
      <c r="C962">
        <v>-118.2645394</v>
      </c>
      <c r="D962" t="s">
        <v>5</v>
      </c>
    </row>
    <row r="963" spans="1:4" x14ac:dyDescent="0.45">
      <c r="A963" t="s">
        <v>965</v>
      </c>
      <c r="B963">
        <v>33.832956799999998</v>
      </c>
      <c r="C963">
        <v>-118.26056320000001</v>
      </c>
      <c r="D963" t="str">
        <f>HYPERLINK("https://streetviewpixels-pa.googleapis.com/v1/thumbnail?panoid=UFtHI7_Lw4_n1yByjnwoPg&amp;cb_client=search.gws-prod.gps&amp;w=408&amp;h=240&amp;yaw=269.56&amp;pitch=0&amp;thumbfov=100", "link")</f>
        <v>link</v>
      </c>
    </row>
    <row r="964" spans="1:4" x14ac:dyDescent="0.45">
      <c r="A964" t="s">
        <v>966</v>
      </c>
      <c r="B964">
        <v>33.845871099999997</v>
      </c>
      <c r="C964">
        <v>-118.266869</v>
      </c>
      <c r="D964" t="str">
        <f>HYPERLINK("https://streetviewpixels-pa.googleapis.com/v1/thumbnail?panoid=xL0BYY1rK3cWtjrYwq2Hfg&amp;cb_client=search.gws-prod.gps&amp;w=408&amp;h=240&amp;yaw=235.12431&amp;pitch=0&amp;thumbfov=100", "link")</f>
        <v>link</v>
      </c>
    </row>
    <row r="965" spans="1:4" x14ac:dyDescent="0.45">
      <c r="A965" t="s">
        <v>967</v>
      </c>
      <c r="B965">
        <v>33.848841499999999</v>
      </c>
      <c r="C965">
        <v>-118.2469037</v>
      </c>
      <c r="D965" t="str">
        <f>HYPERLINK("https://streetviewpixels-pa.googleapis.com/v1/thumbnail?panoid=wSyXVpn1wbPOAWCs-37VbA&amp;cb_client=search.gws-prod.gps&amp;w=408&amp;h=240&amp;yaw=151.54637&amp;pitch=0&amp;thumbfov=100", "link")</f>
        <v>link</v>
      </c>
    </row>
    <row r="966" spans="1:4" x14ac:dyDescent="0.45">
      <c r="A966" t="s">
        <v>968</v>
      </c>
      <c r="B966">
        <v>33.863559299999999</v>
      </c>
      <c r="C966">
        <v>-118.28056410000001</v>
      </c>
      <c r="D966" t="str">
        <f>HYPERLINK("https://streetviewpixels-pa.googleapis.com/v1/thumbnail?panoid=43tvthG4YujMeXZovlredg&amp;cb_client=search.gws-prod.gps&amp;w=408&amp;h=240&amp;yaw=316.77258&amp;pitch=0&amp;thumbfov=100", "link")</f>
        <v>link</v>
      </c>
    </row>
    <row r="967" spans="1:4" x14ac:dyDescent="0.45">
      <c r="A967" t="s">
        <v>969</v>
      </c>
      <c r="B967">
        <v>33.868071700000002</v>
      </c>
      <c r="C967">
        <v>-118.2823992</v>
      </c>
      <c r="D967" t="s">
        <v>5</v>
      </c>
    </row>
    <row r="968" spans="1:4" x14ac:dyDescent="0.45">
      <c r="A968" t="s">
        <v>970</v>
      </c>
      <c r="B968">
        <v>33.850313700000001</v>
      </c>
      <c r="C968">
        <v>-118.2281746</v>
      </c>
      <c r="D968" t="str">
        <f>HYPERLINK("https://streetviewpixels-pa.googleapis.com/v1/thumbnail?panoid=xU43AwIqQ2TybiBDFPgRYg&amp;cb_client=search.gws-prod.gps&amp;w=408&amp;h=240&amp;yaw=104.40733&amp;pitch=0&amp;thumbfov=100", "link")</f>
        <v>link</v>
      </c>
    </row>
    <row r="969" spans="1:4" x14ac:dyDescent="0.45">
      <c r="A969" t="s">
        <v>971</v>
      </c>
      <c r="B969">
        <v>33.840813900000001</v>
      </c>
      <c r="C969">
        <v>-118.2844545</v>
      </c>
      <c r="D969" t="s">
        <v>5</v>
      </c>
    </row>
    <row r="970" spans="1:4" x14ac:dyDescent="0.45">
      <c r="A970" t="s">
        <v>972</v>
      </c>
      <c r="B970">
        <v>33.8432946</v>
      </c>
      <c r="C970">
        <v>-118.2873776</v>
      </c>
      <c r="D970" t="s">
        <v>5</v>
      </c>
    </row>
    <row r="971" spans="1:4" x14ac:dyDescent="0.45">
      <c r="A971" t="s">
        <v>973</v>
      </c>
      <c r="B971">
        <v>33.853155800000003</v>
      </c>
      <c r="C971">
        <v>-118.22351430000001</v>
      </c>
      <c r="D971" t="s">
        <v>5</v>
      </c>
    </row>
    <row r="972" spans="1:4" x14ac:dyDescent="0.45">
      <c r="A972" t="s">
        <v>974</v>
      </c>
      <c r="B972">
        <v>33.837040500000001</v>
      </c>
      <c r="C972">
        <v>-118.2855964</v>
      </c>
      <c r="D972" t="s">
        <v>5</v>
      </c>
    </row>
    <row r="973" spans="1:4" x14ac:dyDescent="0.45">
      <c r="A973" t="s">
        <v>975</v>
      </c>
      <c r="B973">
        <v>33.8566936</v>
      </c>
      <c r="C973">
        <v>-118.2980664</v>
      </c>
      <c r="D973" t="str">
        <f>HYPERLINK("https://lh5.googleusercontent.com/p/AF1QipOHDRPAE-ND9FnZIoGijpTwgdv4WHvO-mOmyusO=w408-h306-k-no", "link")</f>
        <v>link</v>
      </c>
    </row>
    <row r="974" spans="1:4" x14ac:dyDescent="0.45">
      <c r="A974" t="s">
        <v>976</v>
      </c>
      <c r="B974">
        <v>33.875841399999899</v>
      </c>
      <c r="C974">
        <v>-118.22351190000001</v>
      </c>
      <c r="D974" t="s">
        <v>5</v>
      </c>
    </row>
    <row r="975" spans="1:4" x14ac:dyDescent="0.45">
      <c r="A975" t="s">
        <v>977</v>
      </c>
      <c r="B975">
        <v>33.875938099999999</v>
      </c>
      <c r="C975">
        <v>-118.22351430000001</v>
      </c>
      <c r="D975" t="s">
        <v>5</v>
      </c>
    </row>
    <row r="976" spans="1:4" x14ac:dyDescent="0.45">
      <c r="A976" t="s">
        <v>978</v>
      </c>
      <c r="B976">
        <v>33.832035099999999</v>
      </c>
      <c r="C976">
        <v>-118.2866925</v>
      </c>
      <c r="D976" t="s">
        <v>5</v>
      </c>
    </row>
    <row r="977" spans="1:4" x14ac:dyDescent="0.45">
      <c r="A977" t="s">
        <v>979</v>
      </c>
      <c r="B977">
        <v>33.832744099999999</v>
      </c>
      <c r="C977">
        <v>-118.2880377</v>
      </c>
      <c r="D977" t="str">
        <f>HYPERLINK("https://streetviewpixels-pa.googleapis.com/v1/thumbnail?panoid=MDuYwqKcwcgr7MvAAnhJtQ&amp;cb_client=search.gws-prod.gps&amp;w=408&amp;h=240&amp;yaw=298.5547&amp;pitch=0&amp;thumbfov=100", "link")</f>
        <v>link</v>
      </c>
    </row>
    <row r="978" spans="1:4" x14ac:dyDescent="0.45">
      <c r="A978" t="s">
        <v>980</v>
      </c>
      <c r="B978">
        <v>33.892732799999997</v>
      </c>
      <c r="C978">
        <v>-118.22605160000001</v>
      </c>
      <c r="D978" t="str">
        <f>HYPERLINK("https://streetviewpixels-pa.googleapis.com/v1/thumbnail?panoid=or0jRIcQu9KhmPou5DNzRQ&amp;cb_client=search.gws-prod.gps&amp;w=408&amp;h=240&amp;yaw=82.53408&amp;pitch=0&amp;thumbfov=100", "link")</f>
        <v>link</v>
      </c>
    </row>
    <row r="979" spans="1:4" x14ac:dyDescent="0.45">
      <c r="A979" t="s">
        <v>981</v>
      </c>
      <c r="B979">
        <v>33.878134699999997</v>
      </c>
      <c r="C979">
        <v>-118.21273100000001</v>
      </c>
      <c r="D979" t="s">
        <v>5</v>
      </c>
    </row>
    <row r="980" spans="1:4" x14ac:dyDescent="0.45">
      <c r="A980" t="s">
        <v>982</v>
      </c>
      <c r="B980">
        <v>33.8424075</v>
      </c>
      <c r="C980">
        <v>-118.21663650000001</v>
      </c>
      <c r="D980" t="str">
        <f>HYPERLINK("https://streetviewpixels-pa.googleapis.com/v1/thumbnail?panoid=94uYh80PmJPNXEveRo5dFw&amp;cb_client=search.gws-prod.gps&amp;w=408&amp;h=240&amp;yaw=349.35748&amp;pitch=0&amp;thumbfov=100", "link")</f>
        <v>link</v>
      </c>
    </row>
    <row r="981" spans="1:4" x14ac:dyDescent="0.45">
      <c r="A981" t="s">
        <v>983</v>
      </c>
      <c r="B981">
        <v>33.880316700000002</v>
      </c>
      <c r="C981">
        <v>-118.21008070000001</v>
      </c>
      <c r="D981" t="s">
        <v>5</v>
      </c>
    </row>
    <row r="982" spans="1:4" x14ac:dyDescent="0.45">
      <c r="A982" t="s">
        <v>984</v>
      </c>
      <c r="B982">
        <v>33.831347700000002</v>
      </c>
      <c r="C982">
        <v>-118.296087</v>
      </c>
      <c r="D982" t="str">
        <f>HYPERLINK("https://streetviewpixels-pa.googleapis.com/v1/thumbnail?panoid=sm9twrAvBZ99rropdDSaUg&amp;cb_client=search.gws-prod.gps&amp;w=408&amp;h=240&amp;yaw=296.63608&amp;pitch=0&amp;thumbfov=100", "link")</f>
        <v>link</v>
      </c>
    </row>
    <row r="983" spans="1:4" x14ac:dyDescent="0.45">
      <c r="A983" t="s">
        <v>985</v>
      </c>
      <c r="B983">
        <v>33.832158900000003</v>
      </c>
      <c r="C983">
        <v>-118.2881242</v>
      </c>
      <c r="D983" t="str">
        <f>HYPERLINK("https://streetviewpixels-pa.googleapis.com/v1/thumbnail?panoid=czWCelfwUTFcTWfSd4IN-A&amp;cb_client=search.gws-prod.gps&amp;w=408&amp;h=240&amp;yaw=301.7277&amp;pitch=0&amp;thumbfov=100", "link")</f>
        <v>link</v>
      </c>
    </row>
    <row r="984" spans="1:4" x14ac:dyDescent="0.45">
      <c r="A984" t="s">
        <v>986</v>
      </c>
      <c r="B984">
        <v>33.838979199999997</v>
      </c>
      <c r="C984">
        <v>-118.3116285</v>
      </c>
      <c r="D984" t="s">
        <v>5</v>
      </c>
    </row>
    <row r="985" spans="1:4" x14ac:dyDescent="0.45">
      <c r="A985" t="s">
        <v>987</v>
      </c>
      <c r="B985">
        <v>33.837829900000003</v>
      </c>
      <c r="C985">
        <v>-118.3128615</v>
      </c>
      <c r="D985" t="s">
        <v>5</v>
      </c>
    </row>
    <row r="986" spans="1:4" x14ac:dyDescent="0.45">
      <c r="A986" t="s">
        <v>988</v>
      </c>
      <c r="B986">
        <v>33.815975000000002</v>
      </c>
      <c r="C986">
        <v>-118.294251</v>
      </c>
      <c r="D986" t="str">
        <f>HYPERLINK("https://streetviewpixels-pa.googleapis.com/v1/thumbnail?panoid=fuR7XYJd95MDVeBKEBum4w&amp;cb_client=search.gws-prod.gps&amp;w=408&amp;h=240&amp;yaw=257.58136&amp;pitch=0&amp;thumbfov=100", "link")</f>
        <v>link</v>
      </c>
    </row>
    <row r="987" spans="1:4" x14ac:dyDescent="0.45">
      <c r="A987" t="s">
        <v>989</v>
      </c>
      <c r="B987">
        <v>33.838964599999997</v>
      </c>
      <c r="C987">
        <v>-118.3131355</v>
      </c>
      <c r="D987" t="s">
        <v>5</v>
      </c>
    </row>
    <row r="988" spans="1:4" x14ac:dyDescent="0.45">
      <c r="A988" t="s">
        <v>990</v>
      </c>
      <c r="B988">
        <v>33.838307299999997</v>
      </c>
      <c r="C988">
        <v>-118.3140032</v>
      </c>
      <c r="D988" t="s">
        <v>5</v>
      </c>
    </row>
    <row r="989" spans="1:4" x14ac:dyDescent="0.45">
      <c r="A989" t="s">
        <v>991</v>
      </c>
      <c r="B989">
        <v>33.837238200000002</v>
      </c>
      <c r="C989">
        <v>-118.31523610000001</v>
      </c>
      <c r="D989" t="s">
        <v>5</v>
      </c>
    </row>
    <row r="990" spans="1:4" x14ac:dyDescent="0.45">
      <c r="A990" t="s">
        <v>992</v>
      </c>
      <c r="B990">
        <v>33.838297500000003</v>
      </c>
      <c r="C990">
        <v>-118.3150078</v>
      </c>
      <c r="D990" t="s">
        <v>5</v>
      </c>
    </row>
    <row r="991" spans="1:4" x14ac:dyDescent="0.45">
      <c r="A991" t="s">
        <v>993</v>
      </c>
      <c r="B991">
        <v>33.839059900000002</v>
      </c>
      <c r="C991">
        <v>-118.3153275</v>
      </c>
      <c r="D991" t="s">
        <v>5</v>
      </c>
    </row>
    <row r="992" spans="1:4" x14ac:dyDescent="0.45">
      <c r="A992" t="s">
        <v>994</v>
      </c>
      <c r="B992">
        <v>33.840022300000001</v>
      </c>
      <c r="C992">
        <v>-118.3153275</v>
      </c>
      <c r="D992" t="s">
        <v>5</v>
      </c>
    </row>
    <row r="993" spans="1:4" x14ac:dyDescent="0.45">
      <c r="A993" t="s">
        <v>995</v>
      </c>
      <c r="B993">
        <v>33.8066107</v>
      </c>
      <c r="C993">
        <v>-118.1888774</v>
      </c>
      <c r="D993" t="s">
        <v>5</v>
      </c>
    </row>
    <row r="994" spans="1:4" x14ac:dyDescent="0.45">
      <c r="A994" t="s">
        <v>996</v>
      </c>
      <c r="B994">
        <v>33.810678199999998</v>
      </c>
      <c r="C994">
        <v>-118.1882229</v>
      </c>
      <c r="D994" t="str">
        <f>HYPERLINK("https://lh5.googleusercontent.com/p/AF1QipN98gj4kiPJAEPzwUFWeom5AEW8C_hgGmcBsC34=w484-h240-k-no", "link")</f>
        <v>link</v>
      </c>
    </row>
    <row r="995" spans="1:4" x14ac:dyDescent="0.45">
      <c r="A995" t="s">
        <v>997</v>
      </c>
      <c r="B995">
        <v>33.810851300000003</v>
      </c>
      <c r="C995">
        <v>-118.1879634</v>
      </c>
      <c r="D995" t="s">
        <v>5</v>
      </c>
    </row>
    <row r="996" spans="1:4" x14ac:dyDescent="0.45">
      <c r="A996" t="s">
        <v>998</v>
      </c>
      <c r="B996">
        <v>33.790691299999999</v>
      </c>
      <c r="C996">
        <v>-118.28097529999999</v>
      </c>
      <c r="D996" t="str">
        <f>HYPERLINK("https://lh5.googleusercontent.com/p/AF1QipO27qQMxxvcBrGiP9Xped1i5fDflxKTdV-S6MqK=w408-h241-k-no", "link")</f>
        <v>link</v>
      </c>
    </row>
    <row r="997" spans="1:4" x14ac:dyDescent="0.45">
      <c r="A997" t="s">
        <v>999</v>
      </c>
      <c r="B997">
        <v>33.810377899999999</v>
      </c>
      <c r="C997">
        <v>-118.186958</v>
      </c>
      <c r="D997" t="s">
        <v>5</v>
      </c>
    </row>
    <row r="998" spans="1:4" x14ac:dyDescent="0.45">
      <c r="A998" t="s">
        <v>1000</v>
      </c>
      <c r="B998">
        <v>33.8092671</v>
      </c>
      <c r="C998">
        <v>-118.1863821</v>
      </c>
      <c r="D998" t="s">
        <v>5</v>
      </c>
    </row>
    <row r="999" spans="1:4" x14ac:dyDescent="0.45">
      <c r="A999" t="s">
        <v>1001</v>
      </c>
      <c r="B999">
        <v>33.806007000000001</v>
      </c>
      <c r="C999">
        <v>-118.18638439999999</v>
      </c>
      <c r="D999" t="str">
        <f>HYPERLINK("https://streetviewpixels-pa.googleapis.com/v1/thumbnail?panoid=RvKr7M0AHeuAy4DQ7DsgTg&amp;cb_client=search.gws-prod.gps&amp;w=408&amp;h=240&amp;yaw=240.55933&amp;pitch=0&amp;thumbfov=100", "link")</f>
        <v>link</v>
      </c>
    </row>
    <row r="1000" spans="1:4" x14ac:dyDescent="0.45">
      <c r="A1000" t="s">
        <v>1002</v>
      </c>
      <c r="B1000">
        <v>33.809435100000002</v>
      </c>
      <c r="C1000">
        <v>-118.1862268</v>
      </c>
      <c r="D1000" t="s">
        <v>5</v>
      </c>
    </row>
    <row r="1001" spans="1:4" x14ac:dyDescent="0.45">
      <c r="A1001" t="s">
        <v>1003</v>
      </c>
      <c r="B1001">
        <v>33.806693099999997</v>
      </c>
      <c r="C1001">
        <v>-118.18595259999999</v>
      </c>
      <c r="D1001" t="s">
        <v>5</v>
      </c>
    </row>
    <row r="1002" spans="1:4" x14ac:dyDescent="0.45">
      <c r="A1002" t="s">
        <v>1004</v>
      </c>
      <c r="B1002">
        <v>33.8100527</v>
      </c>
      <c r="C1002">
        <v>-118.1856784</v>
      </c>
      <c r="D1002" t="s">
        <v>5</v>
      </c>
    </row>
    <row r="1003" spans="1:4" x14ac:dyDescent="0.45">
      <c r="A1003" t="s">
        <v>1005</v>
      </c>
      <c r="B1003">
        <v>33.809150699999897</v>
      </c>
      <c r="C1003">
        <v>-118.1849307</v>
      </c>
      <c r="D1003" t="str">
        <f>HYPERLINK("https://streetviewpixels-pa.googleapis.com/v1/thumbnail?panoid=vyyb_oO_H1qdVxPJwUYSRA&amp;cb_client=search.gws-prod.gps&amp;w=408&amp;h=240&amp;yaw=73.37588&amp;pitch=0&amp;thumbfov=100", "link")</f>
        <v>link</v>
      </c>
    </row>
    <row r="1004" spans="1:4" x14ac:dyDescent="0.45">
      <c r="A1004" t="s">
        <v>1006</v>
      </c>
      <c r="B1004">
        <v>33.776280300000003</v>
      </c>
      <c r="C1004">
        <v>-118.202404</v>
      </c>
      <c r="D1004" t="s">
        <v>5</v>
      </c>
    </row>
    <row r="1005" spans="1:4" x14ac:dyDescent="0.45">
      <c r="A1005" t="s">
        <v>1007</v>
      </c>
      <c r="B1005">
        <v>33.808710900000001</v>
      </c>
      <c r="C1005">
        <v>-118.1844607</v>
      </c>
      <c r="D1005" t="str">
        <f>HYPERLINK("https://streetviewpixels-pa.googleapis.com/v1/thumbnail?panoid=wrSVkCzBuq9pyWLwXSYJLA&amp;cb_client=search.gws-prod.gps&amp;w=408&amp;h=240&amp;yaw=231.06436&amp;pitch=0&amp;thumbfov=100", "link")</f>
        <v>link</v>
      </c>
    </row>
    <row r="1006" spans="1:4" x14ac:dyDescent="0.45">
      <c r="A1006" t="s">
        <v>1008</v>
      </c>
      <c r="B1006">
        <v>33.808478200000003</v>
      </c>
      <c r="C1006">
        <v>-118.1843909</v>
      </c>
      <c r="D1006" t="str">
        <f>HYPERLINK("https://streetviewpixels-pa.googleapis.com/v1/thumbnail?panoid=wrSVkCzBuq9pyWLwXSYJLA&amp;cb_client=search.gws-prod.gps&amp;w=408&amp;h=240&amp;yaw=231.06436&amp;pitch=0&amp;thumbfov=100", "link")</f>
        <v>link</v>
      </c>
    </row>
    <row r="1007" spans="1:4" x14ac:dyDescent="0.45">
      <c r="A1007" t="s">
        <v>1009</v>
      </c>
      <c r="B1007">
        <v>33.808488199999999</v>
      </c>
      <c r="C1007">
        <v>-118.18421600000001</v>
      </c>
      <c r="D1007" t="s">
        <v>5</v>
      </c>
    </row>
    <row r="1008" spans="1:4" x14ac:dyDescent="0.45">
      <c r="A1008" t="s">
        <v>1010</v>
      </c>
      <c r="B1008">
        <v>33.847299300000003</v>
      </c>
      <c r="C1008">
        <v>-118.2119604</v>
      </c>
      <c r="D1008" t="str">
        <f>HYPERLINK("https://lh5.googleusercontent.com/p/AF1QipM3q94p8LteMJeKRQbp257IjZN6Sw1osvFL4wl-=w426-h240-k-no", "link")</f>
        <v>link</v>
      </c>
    </row>
    <row r="1009" spans="1:4" x14ac:dyDescent="0.45">
      <c r="A1009" t="s">
        <v>1011</v>
      </c>
      <c r="B1009">
        <v>33.846991099999997</v>
      </c>
      <c r="C1009">
        <v>-118.2111774</v>
      </c>
      <c r="D1009" t="s">
        <v>5</v>
      </c>
    </row>
    <row r="1010" spans="1:4" x14ac:dyDescent="0.45">
      <c r="A1010" t="s">
        <v>1012</v>
      </c>
      <c r="B1010">
        <v>33.808616499999999</v>
      </c>
      <c r="C1010">
        <v>-118.2368479</v>
      </c>
      <c r="D1010" t="str">
        <f>HYPERLINK("https://streetviewpixels-pa.googleapis.com/v1/thumbnail?panoid=3BD5TciZiHuiV4tk0ahqEA&amp;cb_client=search.gws-prod.gps&amp;w=408&amp;h=240&amp;yaw=354.28244&amp;pitch=0&amp;thumbfov=100", "link")</f>
        <v>link</v>
      </c>
    </row>
    <row r="1011" spans="1:4" x14ac:dyDescent="0.45">
      <c r="A1011" t="s">
        <v>1013</v>
      </c>
      <c r="B1011">
        <v>33.8181303</v>
      </c>
      <c r="C1011">
        <v>-118.24714880000001</v>
      </c>
      <c r="D1011" t="str">
        <f>HYPERLINK("https://streetviewpixels-pa.googleapis.com/v1/thumbnail?panoid=BZQWaTKcvVd0J35gt5OxKQ&amp;cb_client=search.gws-prod.gps&amp;w=408&amp;h=240&amp;yaw=112.241196&amp;pitch=0&amp;thumbfov=100", "link")</f>
        <v>link</v>
      </c>
    </row>
    <row r="1012" spans="1:4" x14ac:dyDescent="0.45">
      <c r="A1012" t="s">
        <v>1014</v>
      </c>
      <c r="B1012">
        <v>33.826317299999999</v>
      </c>
      <c r="C1012">
        <v>-118.2271988</v>
      </c>
      <c r="D1012" t="str">
        <f>HYPERLINK("https://streetviewpixels-pa.googleapis.com/v1/thumbnail?panoid=ws-1fze992OIz9u4Dpahrg&amp;cb_client=search.gws-prod.gps&amp;w=408&amp;h=240&amp;yaw=107.97129&amp;pitch=0&amp;thumbfov=100", "link")</f>
        <v>link</v>
      </c>
    </row>
    <row r="1013" spans="1:4" x14ac:dyDescent="0.45">
      <c r="A1013" t="s">
        <v>1015</v>
      </c>
      <c r="B1013">
        <v>33.788420899999998</v>
      </c>
      <c r="C1013">
        <v>-118.21519790000001</v>
      </c>
      <c r="D1013" t="str">
        <f>HYPERLINK("https://streetviewpixels-pa.googleapis.com/v1/thumbnail?panoid=7ZBoeI19wlmmUt8Ji9fbyg&amp;cb_client=search.gws-prod.gps&amp;w=408&amp;h=240&amp;yaw=90.61013&amp;pitch=0&amp;thumbfov=100", "link")</f>
        <v>link</v>
      </c>
    </row>
    <row r="1014" spans="1:4" x14ac:dyDescent="0.45">
      <c r="A1014" t="s">
        <v>1016</v>
      </c>
      <c r="B1014">
        <v>33.784542600000002</v>
      </c>
      <c r="C1014">
        <v>-118.25802880000001</v>
      </c>
      <c r="D1014" t="str">
        <f>HYPERLINK("https://streetviewpixels-pa.googleapis.com/v1/thumbnail?panoid=6aSRAoazPiGAt8yt_TH7QQ&amp;cb_client=search.gws-prod.gps&amp;w=408&amp;h=240&amp;yaw=74.79439&amp;pitch=0&amp;thumbfov=100", "link")</f>
        <v>link</v>
      </c>
    </row>
    <row r="1015" spans="1:4" x14ac:dyDescent="0.45">
      <c r="A1015" t="s">
        <v>1017</v>
      </c>
      <c r="B1015">
        <v>33.779303499999997</v>
      </c>
      <c r="C1015">
        <v>-118.2507688</v>
      </c>
      <c r="D1015" t="str">
        <f>HYPERLINK("https://streetviewpixels-pa.googleapis.com/v1/thumbnail?panoid=WLIhF0TbOVsVA0QJlBwsDg&amp;cb_client=search.gws-prod.gps&amp;w=408&amp;h=240&amp;yaw=257.88867&amp;pitch=0&amp;thumbfov=100", "link")</f>
        <v>link</v>
      </c>
    </row>
    <row r="1016" spans="1:4" x14ac:dyDescent="0.45">
      <c r="A1016" t="s">
        <v>1018</v>
      </c>
      <c r="B1016">
        <v>33.782437700000003</v>
      </c>
      <c r="C1016">
        <v>-118.21433020000001</v>
      </c>
      <c r="D1016" t="str">
        <f>HYPERLINK("https://streetviewpixels-pa.googleapis.com/v1/thumbnail?panoid=wpBBDqb1KKsKPhGyWCNNwg&amp;cb_client=search.gws-prod.gps&amp;w=408&amp;h=240&amp;yaw=194.14221&amp;pitch=0&amp;thumbfov=100", "link")</f>
        <v>link</v>
      </c>
    </row>
    <row r="1017" spans="1:4" x14ac:dyDescent="0.45">
      <c r="A1017" t="s">
        <v>1019</v>
      </c>
      <c r="B1017">
        <v>33.781946599999898</v>
      </c>
      <c r="C1017">
        <v>-118.2635337</v>
      </c>
      <c r="D1017" t="str">
        <f>HYPERLINK("https://streetviewpixels-pa.googleapis.com/v1/thumbnail?panoid=GE0c91EDhxJOVeH5ul6SJw&amp;cb_client=search.gws-prod.gps&amp;w=408&amp;h=240&amp;yaw=88.36976&amp;pitch=0&amp;thumbfov=100", "link")</f>
        <v>link</v>
      </c>
    </row>
    <row r="1018" spans="1:4" x14ac:dyDescent="0.45">
      <c r="A1018" t="s">
        <v>1020</v>
      </c>
      <c r="B1018">
        <v>33.781060699999998</v>
      </c>
      <c r="C1018">
        <v>-118.26290179999999</v>
      </c>
      <c r="D1018" t="str">
        <f>HYPERLINK("https://streetviewpixels-pa.googleapis.com/v1/thumbnail?panoid=l9BLVnCoB8jtSX7JVcP9Kw&amp;cb_client=search.gws-prod.gps&amp;w=408&amp;h=240&amp;yaw=175.86026&amp;pitch=0&amp;thumbfov=100", "link")</f>
        <v>link</v>
      </c>
    </row>
    <row r="1019" spans="1:4" x14ac:dyDescent="0.45">
      <c r="A1019" t="s">
        <v>1021</v>
      </c>
      <c r="B1019">
        <v>33.820172599999999</v>
      </c>
      <c r="C1019">
        <v>-118.1965091</v>
      </c>
      <c r="D1019" t="s">
        <v>5</v>
      </c>
    </row>
    <row r="1020" spans="1:4" x14ac:dyDescent="0.45">
      <c r="A1020" t="s">
        <v>1022</v>
      </c>
      <c r="B1020">
        <v>33.819904000000001</v>
      </c>
      <c r="C1020">
        <v>-118.19631269999999</v>
      </c>
      <c r="D1020" t="s">
        <v>5</v>
      </c>
    </row>
    <row r="1021" spans="1:4" x14ac:dyDescent="0.45">
      <c r="A1021" t="s">
        <v>1023</v>
      </c>
      <c r="B1021">
        <v>33.804922599999998</v>
      </c>
      <c r="C1021">
        <v>-118.1918021</v>
      </c>
      <c r="D1021" t="s">
        <v>5</v>
      </c>
    </row>
    <row r="1022" spans="1:4" x14ac:dyDescent="0.45">
      <c r="A1022" t="s">
        <v>1024</v>
      </c>
      <c r="B1022">
        <v>33.805930199999899</v>
      </c>
      <c r="C1022">
        <v>-118.1909552</v>
      </c>
      <c r="D1022" t="str">
        <f>HYPERLINK("https://streetviewpixels-pa.googleapis.com/v1/thumbnail?panoid=xorrmYCLPYJpDH_Kxjnyqg&amp;cb_client=search.gws-prod.gps&amp;w=408&amp;h=240&amp;yaw=224.56491&amp;pitch=0&amp;thumbfov=100", "link")</f>
        <v>link</v>
      </c>
    </row>
    <row r="1023" spans="1:4" x14ac:dyDescent="0.45">
      <c r="A1023" t="s">
        <v>1025</v>
      </c>
      <c r="B1023">
        <v>33.805894299999899</v>
      </c>
      <c r="C1023">
        <v>-118.1907968</v>
      </c>
      <c r="D1023" t="str">
        <f>HYPERLINK("https://streetviewpixels-pa.googleapis.com/v1/thumbnail?panoid=xorrmYCLPYJpDH_Kxjnyqg&amp;cb_client=search.gws-prod.gps&amp;w=408&amp;h=240&amp;yaw=224.56491&amp;pitch=0&amp;thumbfov=100", "link")</f>
        <v>link</v>
      </c>
    </row>
    <row r="1024" spans="1:4" x14ac:dyDescent="0.45">
      <c r="A1024" t="s">
        <v>1026</v>
      </c>
      <c r="B1024">
        <v>33.8074382</v>
      </c>
      <c r="C1024">
        <v>-118.1903032</v>
      </c>
      <c r="D1024" t="s">
        <v>5</v>
      </c>
    </row>
    <row r="1025" spans="1:4" x14ac:dyDescent="0.45">
      <c r="A1025" t="s">
        <v>1027</v>
      </c>
      <c r="B1025">
        <v>33.809398000000002</v>
      </c>
      <c r="C1025">
        <v>-118.1889688</v>
      </c>
      <c r="D1025" t="s">
        <v>5</v>
      </c>
    </row>
    <row r="1026" spans="1:4" x14ac:dyDescent="0.45">
      <c r="A1026" t="s">
        <v>1028</v>
      </c>
      <c r="B1026">
        <v>33.847551099999997</v>
      </c>
      <c r="C1026">
        <v>-118.2105377</v>
      </c>
      <c r="D1026" t="s">
        <v>5</v>
      </c>
    </row>
    <row r="1027" spans="1:4" x14ac:dyDescent="0.45">
      <c r="A1027" t="s">
        <v>1029</v>
      </c>
      <c r="B1027">
        <v>34.4977266</v>
      </c>
      <c r="C1027">
        <v>-118.60943109999999</v>
      </c>
      <c r="D1027" t="s">
        <v>5</v>
      </c>
    </row>
    <row r="1028" spans="1:4" x14ac:dyDescent="0.45">
      <c r="A1028" t="s">
        <v>1030</v>
      </c>
      <c r="B1028">
        <v>34.498809999999999</v>
      </c>
      <c r="C1028">
        <v>-118.6137616</v>
      </c>
      <c r="D1028" t="s">
        <v>5</v>
      </c>
    </row>
    <row r="1029" spans="1:4" x14ac:dyDescent="0.45">
      <c r="A1029" t="s">
        <v>1031</v>
      </c>
      <c r="B1029">
        <v>34.442341800000001</v>
      </c>
      <c r="C1029">
        <v>-118.6002513</v>
      </c>
      <c r="D1029" t="str">
        <f>HYPERLINK("https://streetviewpixels-pa.googleapis.com/v1/thumbnail?panoid=95ot8gHPp3CCX2N-hPaYxw&amp;cb_client=search.gws-prod.gps&amp;w=408&amp;h=240&amp;yaw=196.60072&amp;pitch=0&amp;thumbfov=100", "link")</f>
        <v>link</v>
      </c>
    </row>
    <row r="1030" spans="1:4" x14ac:dyDescent="0.45">
      <c r="A1030" t="s">
        <v>1032</v>
      </c>
      <c r="B1030">
        <v>34.444388500000002</v>
      </c>
      <c r="C1030">
        <v>-118.6086626</v>
      </c>
      <c r="D1030" t="s">
        <v>5</v>
      </c>
    </row>
    <row r="1031" spans="1:4" x14ac:dyDescent="0.45">
      <c r="A1031" t="s">
        <v>1033</v>
      </c>
      <c r="B1031">
        <v>34.424059200000002</v>
      </c>
      <c r="C1031">
        <v>-118.5850016</v>
      </c>
      <c r="D1031" t="s">
        <v>5</v>
      </c>
    </row>
    <row r="1032" spans="1:4" x14ac:dyDescent="0.45">
      <c r="A1032" t="s">
        <v>1034</v>
      </c>
      <c r="B1032">
        <v>34.4248482</v>
      </c>
      <c r="C1032">
        <v>-118.5774728</v>
      </c>
      <c r="D1032" t="s">
        <v>5</v>
      </c>
    </row>
    <row r="1033" spans="1:4" x14ac:dyDescent="0.45">
      <c r="A1033" t="s">
        <v>1035</v>
      </c>
      <c r="B1033">
        <v>34.4392687</v>
      </c>
      <c r="C1033">
        <v>-118.56502519999999</v>
      </c>
      <c r="D1033" t="s">
        <v>5</v>
      </c>
    </row>
    <row r="1034" spans="1:4" x14ac:dyDescent="0.45">
      <c r="A1034" t="s">
        <v>1036</v>
      </c>
      <c r="B1034">
        <v>34.439864800000002</v>
      </c>
      <c r="C1034">
        <v>-118.56393079999999</v>
      </c>
      <c r="D1034" t="str">
        <f>HYPERLINK("https://streetviewpixels-pa.googleapis.com/v1/thumbnail?panoid=PDfFtpdDwP0lSisQcuXYqA&amp;cb_client=search.gws-prod.gps&amp;w=408&amp;h=240&amp;yaw=127.26331&amp;pitch=0&amp;thumbfov=100", "link")</f>
        <v>link</v>
      </c>
    </row>
    <row r="1035" spans="1:4" x14ac:dyDescent="0.45">
      <c r="A1035" t="s">
        <v>1037</v>
      </c>
      <c r="B1035">
        <v>34.436548999999999</v>
      </c>
      <c r="C1035">
        <v>-118.5632013</v>
      </c>
      <c r="D1035" t="str">
        <f>HYPERLINK("https://streetviewpixels-pa.googleapis.com/v1/thumbnail?panoid=ZogtADh2w7L0IqnSIUTvKA&amp;cb_client=search.gws-prod.gps&amp;w=408&amp;h=240&amp;yaw=245.01605&amp;pitch=0&amp;thumbfov=100", "link")</f>
        <v>link</v>
      </c>
    </row>
    <row r="1036" spans="1:4" x14ac:dyDescent="0.45">
      <c r="A1036" t="s">
        <v>1038</v>
      </c>
      <c r="B1036">
        <v>34.408522099999999</v>
      </c>
      <c r="C1036">
        <v>-118.57140870000001</v>
      </c>
      <c r="D1036" t="str">
        <f>HYPERLINK("https://lh5.googleusercontent.com/p/AF1QipNqAEcIfiGkexK4ODrxAF328roH9SDvd3vXdCL_=w408-h521-k-no", "link")</f>
        <v>link</v>
      </c>
    </row>
    <row r="1037" spans="1:4" x14ac:dyDescent="0.45">
      <c r="A1037" t="s">
        <v>1039</v>
      </c>
      <c r="B1037">
        <v>34.405569300000003</v>
      </c>
      <c r="C1037">
        <v>-118.5719103</v>
      </c>
      <c r="D1037" t="s">
        <v>5</v>
      </c>
    </row>
    <row r="1038" spans="1:4" x14ac:dyDescent="0.45">
      <c r="A1038" t="s">
        <v>1040</v>
      </c>
      <c r="B1038">
        <v>33.906972799999998</v>
      </c>
      <c r="C1038">
        <v>-118.0176024</v>
      </c>
      <c r="D1038" t="s">
        <v>5</v>
      </c>
    </row>
    <row r="1039" spans="1:4" x14ac:dyDescent="0.45">
      <c r="A1039" t="s">
        <v>1041</v>
      </c>
      <c r="B1039">
        <v>33.9068714</v>
      </c>
      <c r="C1039">
        <v>-118.01540660000001</v>
      </c>
      <c r="D1039" t="s">
        <v>5</v>
      </c>
    </row>
    <row r="1040" spans="1:4" x14ac:dyDescent="0.45">
      <c r="A1040" t="s">
        <v>1042</v>
      </c>
      <c r="B1040">
        <v>33.907046000000001</v>
      </c>
      <c r="C1040">
        <v>-118.0133938</v>
      </c>
      <c r="D1040" t="s">
        <v>5</v>
      </c>
    </row>
    <row r="1041" spans="1:4" x14ac:dyDescent="0.45">
      <c r="A1041" t="s">
        <v>1043</v>
      </c>
      <c r="B1041">
        <v>33.907065699999997</v>
      </c>
      <c r="C1041">
        <v>-118.0126619</v>
      </c>
      <c r="D1041" t="s">
        <v>5</v>
      </c>
    </row>
    <row r="1042" spans="1:4" x14ac:dyDescent="0.45">
      <c r="A1042" t="s">
        <v>1044</v>
      </c>
      <c r="B1042">
        <v>33.907691799999903</v>
      </c>
      <c r="C1042">
        <v>-118.01289060000001</v>
      </c>
      <c r="D1042" t="s">
        <v>5</v>
      </c>
    </row>
    <row r="1043" spans="1:4" x14ac:dyDescent="0.45">
      <c r="A1043" t="s">
        <v>1045</v>
      </c>
      <c r="B1043">
        <v>33.903108000000003</v>
      </c>
      <c r="C1043">
        <v>-118.0023231</v>
      </c>
      <c r="D1043" t="s">
        <v>5</v>
      </c>
    </row>
    <row r="1044" spans="1:4" x14ac:dyDescent="0.45">
      <c r="A1044" t="s">
        <v>1046</v>
      </c>
      <c r="B1044">
        <v>33.908677099999998</v>
      </c>
      <c r="C1044">
        <v>-118.0139428</v>
      </c>
      <c r="D1044" t="s">
        <v>5</v>
      </c>
    </row>
    <row r="1045" spans="1:4" x14ac:dyDescent="0.45">
      <c r="A1045" t="s">
        <v>1047</v>
      </c>
      <c r="B1045">
        <v>33.908754999999999</v>
      </c>
      <c r="C1045">
        <v>-118.0128632</v>
      </c>
      <c r="D1045" t="str">
        <f>HYPERLINK("https://streetviewpixels-pa.googleapis.com/v1/thumbnail?panoid=dezJhqPg20eMIdcHaiTZIg&amp;cb_client=search.gws-prod.gps&amp;w=408&amp;h=240&amp;yaw=280.01407&amp;pitch=0&amp;thumbfov=100", "link")</f>
        <v>link</v>
      </c>
    </row>
    <row r="1046" spans="1:4" x14ac:dyDescent="0.45">
      <c r="A1046" t="s">
        <v>1048</v>
      </c>
      <c r="B1046">
        <v>33.905952399999997</v>
      </c>
      <c r="C1046">
        <v>-118.00479350000001</v>
      </c>
      <c r="D1046" t="s">
        <v>5</v>
      </c>
    </row>
    <row r="1047" spans="1:4" x14ac:dyDescent="0.45">
      <c r="A1047" t="s">
        <v>1049</v>
      </c>
      <c r="B1047">
        <v>33.909031300000002</v>
      </c>
      <c r="C1047">
        <v>-118.01234169999999</v>
      </c>
      <c r="D1047" t="s">
        <v>5</v>
      </c>
    </row>
    <row r="1048" spans="1:4" x14ac:dyDescent="0.45">
      <c r="A1048" t="s">
        <v>1050</v>
      </c>
      <c r="B1048">
        <v>33.876113500000002</v>
      </c>
      <c r="C1048">
        <v>-117.98851260000001</v>
      </c>
      <c r="D1048" t="s">
        <v>5</v>
      </c>
    </row>
    <row r="1049" spans="1:4" x14ac:dyDescent="0.45">
      <c r="A1049" t="s">
        <v>1051</v>
      </c>
      <c r="B1049">
        <v>33.860581600000003</v>
      </c>
      <c r="C1049">
        <v>-117.99767749999999</v>
      </c>
      <c r="D1049" t="str">
        <f>HYPERLINK("https://streetviewpixels-pa.googleapis.com/v1/thumbnail?panoid=IHy1Mx7f8jMgqxI0WhJkBw&amp;cb_client=search.gws-prod.gps&amp;w=408&amp;h=240&amp;yaw=87.53661&amp;pitch=0&amp;thumbfov=100", "link")</f>
        <v>link</v>
      </c>
    </row>
    <row r="1050" spans="1:4" x14ac:dyDescent="0.45">
      <c r="A1050" t="s">
        <v>1052</v>
      </c>
      <c r="B1050">
        <v>33.876282400000001</v>
      </c>
      <c r="C1050">
        <v>-117.987317</v>
      </c>
      <c r="D1050" t="str">
        <f>HYPERLINK("https://streetviewpixels-pa.googleapis.com/v1/thumbnail?panoid=ZYfbxWECyfYJkG4yVWIhGw&amp;cb_client=search.gws-prod.gps&amp;w=408&amp;h=240&amp;yaw=160.85966&amp;pitch=0&amp;thumbfov=100", "link")</f>
        <v>link</v>
      </c>
    </row>
    <row r="1051" spans="1:4" x14ac:dyDescent="0.45">
      <c r="A1051" t="s">
        <v>1053</v>
      </c>
      <c r="B1051">
        <v>33.908380800000003</v>
      </c>
      <c r="C1051">
        <v>-118.00406150000001</v>
      </c>
      <c r="D1051" t="s">
        <v>5</v>
      </c>
    </row>
    <row r="1052" spans="1:4" x14ac:dyDescent="0.45">
      <c r="A1052" t="s">
        <v>1054</v>
      </c>
      <c r="B1052">
        <v>33.909170400000001</v>
      </c>
      <c r="C1052">
        <v>-118.0049307</v>
      </c>
      <c r="D1052" t="s">
        <v>5</v>
      </c>
    </row>
    <row r="1053" spans="1:4" x14ac:dyDescent="0.45">
      <c r="A1053" t="s">
        <v>1055</v>
      </c>
      <c r="B1053">
        <v>33.909351200000003</v>
      </c>
      <c r="C1053">
        <v>-118.0030551</v>
      </c>
      <c r="D1053" t="s">
        <v>5</v>
      </c>
    </row>
    <row r="1054" spans="1:4" x14ac:dyDescent="0.45">
      <c r="A1054" t="s">
        <v>1056</v>
      </c>
      <c r="B1054">
        <v>33.852608199999999</v>
      </c>
      <c r="C1054">
        <v>-117.99658820000001</v>
      </c>
      <c r="D1054" t="s">
        <v>5</v>
      </c>
    </row>
    <row r="1055" spans="1:4" x14ac:dyDescent="0.45">
      <c r="A1055" t="s">
        <v>1057</v>
      </c>
      <c r="B1055">
        <v>33.893138200000003</v>
      </c>
      <c r="C1055">
        <v>-117.97789179999999</v>
      </c>
      <c r="D1055" t="str">
        <f>HYPERLINK("https://lh5.googleusercontent.com/p/AF1QipM-NDG3oGJaggcBOqS73QXhB6f79X7cqHKPlu9u=w408-h544-k-no", "link")</f>
        <v>link</v>
      </c>
    </row>
    <row r="1056" spans="1:4" x14ac:dyDescent="0.45">
      <c r="A1056" t="s">
        <v>1058</v>
      </c>
      <c r="B1056">
        <v>33.881473999999997</v>
      </c>
      <c r="C1056">
        <v>-118.023579</v>
      </c>
      <c r="D1056" t="str">
        <f>HYPERLINK("https://streetviewpixels-pa.googleapis.com/v1/thumbnail?panoid=RxMeNthLZuZW9sdjZhGjag&amp;cb_client=search.gws-prod.gps&amp;w=408&amp;h=240&amp;yaw=287.97815&amp;pitch=0&amp;thumbfov=100", "link")</f>
        <v>link</v>
      </c>
    </row>
    <row r="1057" spans="1:4" x14ac:dyDescent="0.45">
      <c r="A1057" t="s">
        <v>1059</v>
      </c>
      <c r="B1057">
        <v>33.873783899999999</v>
      </c>
      <c r="C1057">
        <v>-118.023697</v>
      </c>
      <c r="D1057" t="str">
        <f>HYPERLINK("https://streetviewpixels-pa.googleapis.com/v1/thumbnail?panoid=9hF1Yr-y26RcTOMr-6dCcA&amp;cb_client=search.gws-prod.gps&amp;w=408&amp;h=240&amp;yaw=346.0591&amp;pitch=0&amp;thumbfov=100", "link")</f>
        <v>link</v>
      </c>
    </row>
    <row r="1058" spans="1:4" x14ac:dyDescent="0.45">
      <c r="A1058" t="s">
        <v>1060</v>
      </c>
      <c r="B1058">
        <v>33.871894400000002</v>
      </c>
      <c r="C1058">
        <v>-118.01037460000001</v>
      </c>
      <c r="D1058" t="s">
        <v>5</v>
      </c>
    </row>
    <row r="1059" spans="1:4" x14ac:dyDescent="0.45">
      <c r="A1059" t="s">
        <v>1061</v>
      </c>
      <c r="B1059">
        <v>33.8808972</v>
      </c>
      <c r="C1059">
        <v>-118.0417995</v>
      </c>
      <c r="D1059" t="s">
        <v>5</v>
      </c>
    </row>
    <row r="1060" spans="1:4" x14ac:dyDescent="0.45">
      <c r="A1060" t="s">
        <v>1062</v>
      </c>
      <c r="B1060">
        <v>33.8706611</v>
      </c>
      <c r="C1060">
        <v>-118.0091852</v>
      </c>
      <c r="D1060" t="s">
        <v>5</v>
      </c>
    </row>
    <row r="1061" spans="1:4" x14ac:dyDescent="0.45">
      <c r="A1061" t="s">
        <v>1063</v>
      </c>
      <c r="B1061">
        <v>33.8638397</v>
      </c>
      <c r="C1061">
        <v>-118.0227914</v>
      </c>
      <c r="D1061" t="s">
        <v>5</v>
      </c>
    </row>
    <row r="1062" spans="1:4" x14ac:dyDescent="0.45">
      <c r="A1062" t="s">
        <v>1064</v>
      </c>
      <c r="B1062">
        <v>33.879786699999997</v>
      </c>
      <c r="C1062">
        <v>-118.0490717</v>
      </c>
      <c r="D1062" t="s">
        <v>5</v>
      </c>
    </row>
    <row r="1063" spans="1:4" x14ac:dyDescent="0.45">
      <c r="A1063" t="s">
        <v>1065</v>
      </c>
      <c r="B1063">
        <v>33.860543200000002</v>
      </c>
      <c r="C1063">
        <v>-118.0292281</v>
      </c>
      <c r="D1063" t="str">
        <f>HYPERLINK("https://streetviewpixels-pa.googleapis.com/v1/thumbnail?panoid=PL4ZhwSvZxQEwmgOi9QQQA&amp;cb_client=search.gws-prod.gps&amp;w=408&amp;h=240&amp;yaw=179.9648&amp;pitch=0&amp;thumbfov=100", "link")</f>
        <v>link</v>
      </c>
    </row>
    <row r="1064" spans="1:4" x14ac:dyDescent="0.45">
      <c r="A1064" t="s">
        <v>1066</v>
      </c>
      <c r="B1064">
        <v>33.903440199999999</v>
      </c>
      <c r="C1064">
        <v>-118.0176024</v>
      </c>
      <c r="D1064" t="s">
        <v>5</v>
      </c>
    </row>
    <row r="1065" spans="1:4" x14ac:dyDescent="0.45">
      <c r="A1065" t="s">
        <v>1067</v>
      </c>
      <c r="B1065">
        <v>33.903357100000001</v>
      </c>
      <c r="C1065">
        <v>-118.01696200000001</v>
      </c>
      <c r="D1065" t="s">
        <v>5</v>
      </c>
    </row>
    <row r="1066" spans="1:4" x14ac:dyDescent="0.45">
      <c r="A1066" t="s">
        <v>1068</v>
      </c>
      <c r="B1066">
        <v>33.903358400000002</v>
      </c>
      <c r="C1066">
        <v>-118.0146747</v>
      </c>
      <c r="D1066" t="s">
        <v>5</v>
      </c>
    </row>
    <row r="1067" spans="1:4" x14ac:dyDescent="0.45">
      <c r="A1067" t="s">
        <v>1069</v>
      </c>
      <c r="B1067">
        <v>33.8791425</v>
      </c>
      <c r="C1067">
        <v>-118.05135850000001</v>
      </c>
      <c r="D1067" t="s">
        <v>5</v>
      </c>
    </row>
    <row r="1068" spans="1:4" x14ac:dyDescent="0.45">
      <c r="A1068" t="s">
        <v>1070</v>
      </c>
      <c r="B1068">
        <v>33.905039599999903</v>
      </c>
      <c r="C1068">
        <v>-118.0174651</v>
      </c>
      <c r="D1068" t="s">
        <v>5</v>
      </c>
    </row>
    <row r="1069" spans="1:4" x14ac:dyDescent="0.45">
      <c r="A1069" t="s">
        <v>1071</v>
      </c>
      <c r="B1069">
        <v>33.905150200000001</v>
      </c>
      <c r="C1069">
        <v>-118.01522370000001</v>
      </c>
      <c r="D1069" t="s">
        <v>5</v>
      </c>
    </row>
    <row r="1070" spans="1:4" x14ac:dyDescent="0.45">
      <c r="A1070" t="s">
        <v>1072</v>
      </c>
      <c r="B1070">
        <v>33.904843</v>
      </c>
      <c r="C1070">
        <v>-118.0132109</v>
      </c>
      <c r="D1070" t="s">
        <v>5</v>
      </c>
    </row>
    <row r="1071" spans="1:4" x14ac:dyDescent="0.45">
      <c r="A1071" t="s">
        <v>1073</v>
      </c>
      <c r="B1071">
        <v>33.905272699999998</v>
      </c>
      <c r="C1071">
        <v>-118.0144002</v>
      </c>
      <c r="D1071" t="s">
        <v>5</v>
      </c>
    </row>
    <row r="1072" spans="1:4" x14ac:dyDescent="0.45">
      <c r="A1072" t="s">
        <v>1074</v>
      </c>
      <c r="B1072">
        <v>33.905375499999998</v>
      </c>
      <c r="C1072">
        <v>-118.0143087</v>
      </c>
      <c r="D1072" t="s">
        <v>5</v>
      </c>
    </row>
    <row r="1073" spans="1:4" x14ac:dyDescent="0.45">
      <c r="A1073" t="s">
        <v>1075</v>
      </c>
      <c r="B1073">
        <v>33.9051191</v>
      </c>
      <c r="C1073">
        <v>-118.0133938</v>
      </c>
      <c r="D1073" t="str">
        <f>HYPERLINK("https://streetviewpixels-pa.googleapis.com/v1/thumbnail?panoid=NRAlexySYq8r3dmkXMhwyA&amp;cb_client=search.gws-prod.gps&amp;w=408&amp;h=240&amp;yaw=318.93344&amp;pitch=0&amp;thumbfov=100", "link")</f>
        <v>link</v>
      </c>
    </row>
    <row r="1074" spans="1:4" x14ac:dyDescent="0.45">
      <c r="A1074" t="s">
        <v>1076</v>
      </c>
      <c r="B1074">
        <v>33.905721999999997</v>
      </c>
      <c r="C1074">
        <v>-118.01485769999999</v>
      </c>
      <c r="D1074" t="s">
        <v>5</v>
      </c>
    </row>
    <row r="1075" spans="1:4" x14ac:dyDescent="0.45">
      <c r="A1075" t="s">
        <v>1077</v>
      </c>
      <c r="B1075">
        <v>33.906963699999999</v>
      </c>
      <c r="C1075">
        <v>-118.0183765</v>
      </c>
      <c r="D1075" t="s">
        <v>5</v>
      </c>
    </row>
    <row r="1076" spans="1:4" x14ac:dyDescent="0.45">
      <c r="A1076" t="s">
        <v>1078</v>
      </c>
      <c r="B1076">
        <v>34.241557100000001</v>
      </c>
      <c r="C1076">
        <v>-118.570437</v>
      </c>
      <c r="D1076" t="str">
        <f>HYPERLINK("https://streetviewpixels-pa.googleapis.com/v1/thumbnail?panoid=5Kf5VexqjXbyjl-XhozzjQ&amp;cb_client=search.gws-prod.gps&amp;w=408&amp;h=240&amp;yaw=92.55822&amp;pitch=0&amp;thumbfov=100", "link")</f>
        <v>link</v>
      </c>
    </row>
    <row r="1077" spans="1:4" x14ac:dyDescent="0.45">
      <c r="A1077" t="s">
        <v>1079</v>
      </c>
      <c r="B1077">
        <v>34.238799499999999</v>
      </c>
      <c r="C1077">
        <v>-118.5651907</v>
      </c>
      <c r="D1077" t="str">
        <f>HYPERLINK("https://streetviewpixels-pa.googleapis.com/v1/thumbnail?panoid=KSu0hnCWSgscN3HXXlQaGg&amp;cb_client=search.gws-prod.gps&amp;w=408&amp;h=240&amp;yaw=183.70772&amp;pitch=0&amp;thumbfov=100", "link")</f>
        <v>link</v>
      </c>
    </row>
    <row r="1078" spans="1:4" x14ac:dyDescent="0.45">
      <c r="A1078" t="s">
        <v>1080</v>
      </c>
      <c r="B1078">
        <v>34.239160699999999</v>
      </c>
      <c r="C1078">
        <v>-118.5578328</v>
      </c>
      <c r="D1078" t="str">
        <f>HYPERLINK("https://lh5.googleusercontent.com/p/AF1QipOZh0QvxScv_zeP1wjkrLKX_xI7qwziG3UyLYKz=w408-h306-k-no", "link")</f>
        <v>link</v>
      </c>
    </row>
    <row r="1079" spans="1:4" x14ac:dyDescent="0.45">
      <c r="A1079" t="s">
        <v>1081</v>
      </c>
      <c r="B1079">
        <v>34.242138599999997</v>
      </c>
      <c r="C1079">
        <v>-118.556179</v>
      </c>
      <c r="D1079" t="str">
        <f>HYPERLINK("https://streetviewpixels-pa.googleapis.com/v1/thumbnail?panoid=vaRQtqaQlNf1hqBN1O4ylA&amp;cb_client=search.gws-prod.gps&amp;w=408&amp;h=240&amp;yaw=189.03288&amp;pitch=0&amp;thumbfov=100", "link")</f>
        <v>link</v>
      </c>
    </row>
    <row r="1080" spans="1:4" x14ac:dyDescent="0.45">
      <c r="A1080" t="s">
        <v>1082</v>
      </c>
      <c r="B1080">
        <v>34.236731999999897</v>
      </c>
      <c r="C1080">
        <v>-118.5569108</v>
      </c>
      <c r="D1080" t="str">
        <f>HYPERLINK("https://lh5.googleusercontent.com/p/AF1QipPooanwkIjAdclsmZCHeyU5D9elqSlz3zGnd6Vy=w408-h544-k-no", "link")</f>
        <v>link</v>
      </c>
    </row>
    <row r="1081" spans="1:4" x14ac:dyDescent="0.45">
      <c r="A1081" t="s">
        <v>1083</v>
      </c>
      <c r="B1081">
        <v>34.2503308</v>
      </c>
      <c r="C1081">
        <v>-118.5814395</v>
      </c>
      <c r="D1081" t="s">
        <v>5</v>
      </c>
    </row>
    <row r="1082" spans="1:4" x14ac:dyDescent="0.45">
      <c r="A1082" t="s">
        <v>1084</v>
      </c>
      <c r="B1082">
        <v>34.251472399999997</v>
      </c>
      <c r="C1082">
        <v>-118.58071</v>
      </c>
      <c r="D1082" t="s">
        <v>5</v>
      </c>
    </row>
    <row r="1083" spans="1:4" x14ac:dyDescent="0.45">
      <c r="A1083" t="s">
        <v>1085</v>
      </c>
      <c r="B1083">
        <v>34.238477699999997</v>
      </c>
      <c r="C1083">
        <v>-118.5538346</v>
      </c>
      <c r="D1083" t="str">
        <f>HYPERLINK("https://lh5.googleusercontent.com/p/AF1QipM1QVe3iMIDuIEzOv3h7pnKn6dqq0xNM3hFi_sm=w408-h306-k-no", "link")</f>
        <v>link</v>
      </c>
    </row>
    <row r="1084" spans="1:4" x14ac:dyDescent="0.45">
      <c r="A1084" t="s">
        <v>1086</v>
      </c>
      <c r="B1084">
        <v>34.236392799999997</v>
      </c>
      <c r="C1084">
        <v>-118.5543466</v>
      </c>
      <c r="D1084" t="str">
        <f>HYPERLINK("https://streetviewpixels-pa.googleapis.com/v1/thumbnail?panoid=KAs9H8-wGNGGQst1a9BGNg&amp;cb_client=search.gws-prod.gps&amp;w=408&amp;h=240&amp;yaw=88.987595&amp;pitch=0&amp;thumbfov=100", "link")</f>
        <v>link</v>
      </c>
    </row>
    <row r="1085" spans="1:4" x14ac:dyDescent="0.45">
      <c r="A1085" t="s">
        <v>1087</v>
      </c>
      <c r="B1085">
        <v>34.230590200000002</v>
      </c>
      <c r="C1085">
        <v>-118.5517102</v>
      </c>
      <c r="D1085" t="s">
        <v>5</v>
      </c>
    </row>
    <row r="1086" spans="1:4" x14ac:dyDescent="0.45">
      <c r="A1086" t="s">
        <v>1088</v>
      </c>
      <c r="B1086">
        <v>34.221122600000001</v>
      </c>
      <c r="C1086">
        <v>-118.5724118</v>
      </c>
      <c r="D1086" t="str">
        <f>HYPERLINK("https://streetviewpixels-pa.googleapis.com/v1/thumbnail?panoid=zsYWEXLJFoPFxxbHUhZJPQ&amp;cb_client=search.gws-prod.gps&amp;w=408&amp;h=240&amp;yaw=2.5409281&amp;pitch=0&amp;thumbfov=100", "link")</f>
        <v>link</v>
      </c>
    </row>
    <row r="1087" spans="1:4" x14ac:dyDescent="0.45">
      <c r="A1087" t="s">
        <v>1089</v>
      </c>
      <c r="B1087">
        <v>34.260850099999999</v>
      </c>
      <c r="C1087">
        <v>-118.5792689</v>
      </c>
      <c r="D1087" t="s">
        <v>5</v>
      </c>
    </row>
    <row r="1088" spans="1:4" x14ac:dyDescent="0.45">
      <c r="A1088" t="s">
        <v>1090</v>
      </c>
      <c r="B1088">
        <v>34.256654699999999</v>
      </c>
      <c r="C1088">
        <v>-118.5925974</v>
      </c>
      <c r="D1088" t="s">
        <v>5</v>
      </c>
    </row>
    <row r="1089" spans="1:4" x14ac:dyDescent="0.45">
      <c r="A1089" t="s">
        <v>1091</v>
      </c>
      <c r="B1089">
        <v>34.229700000000001</v>
      </c>
      <c r="C1089">
        <v>-118.5454683</v>
      </c>
      <c r="D1089" t="s">
        <v>5</v>
      </c>
    </row>
    <row r="1090" spans="1:4" x14ac:dyDescent="0.45">
      <c r="A1090" t="s">
        <v>1092</v>
      </c>
      <c r="B1090">
        <v>34.250340100000003</v>
      </c>
      <c r="C1090">
        <v>-118.5993484</v>
      </c>
      <c r="D1090" t="s">
        <v>5</v>
      </c>
    </row>
    <row r="1091" spans="1:4" x14ac:dyDescent="0.45">
      <c r="A1091" t="s">
        <v>1093</v>
      </c>
      <c r="B1091">
        <v>34.250844899999997</v>
      </c>
      <c r="C1091">
        <v>-118.59921970000001</v>
      </c>
      <c r="D1091" t="s">
        <v>5</v>
      </c>
    </row>
    <row r="1092" spans="1:4" x14ac:dyDescent="0.45">
      <c r="A1092" t="s">
        <v>1094</v>
      </c>
      <c r="B1092">
        <v>34.254944600000002</v>
      </c>
      <c r="C1092">
        <v>-118.5991954</v>
      </c>
      <c r="D1092" t="str">
        <f>HYPERLINK("https://lh5.googleusercontent.com/p/AF1QipMRhY_QQUQk5CTDYf_vsuIHUmtFatfKg9CUm7OE=w408-h306-k-no", "link")</f>
        <v>link</v>
      </c>
    </row>
    <row r="1093" spans="1:4" x14ac:dyDescent="0.45">
      <c r="A1093" t="s">
        <v>1095</v>
      </c>
      <c r="B1093">
        <v>34.2560954</v>
      </c>
      <c r="C1093">
        <v>-118.5989462</v>
      </c>
      <c r="D1093" t="s">
        <v>5</v>
      </c>
    </row>
    <row r="1094" spans="1:4" x14ac:dyDescent="0.45">
      <c r="A1094" t="s">
        <v>1096</v>
      </c>
      <c r="B1094">
        <v>34.236401899999997</v>
      </c>
      <c r="C1094">
        <v>-118.5369347</v>
      </c>
      <c r="D1094" t="s">
        <v>5</v>
      </c>
    </row>
    <row r="1095" spans="1:4" x14ac:dyDescent="0.45">
      <c r="A1095" t="s">
        <v>1097</v>
      </c>
      <c r="B1095">
        <v>34.256905400000001</v>
      </c>
      <c r="C1095">
        <v>-118.5999947</v>
      </c>
      <c r="D1095" t="s">
        <v>5</v>
      </c>
    </row>
    <row r="1096" spans="1:4" x14ac:dyDescent="0.45">
      <c r="A1096" t="s">
        <v>1098</v>
      </c>
      <c r="B1096">
        <v>34.278499400000001</v>
      </c>
      <c r="C1096">
        <v>-118.6813484</v>
      </c>
      <c r="D1096" t="s">
        <v>5</v>
      </c>
    </row>
    <row r="1097" spans="1:4" x14ac:dyDescent="0.45">
      <c r="A1097" t="s">
        <v>1099</v>
      </c>
      <c r="B1097">
        <v>34.278035299999999</v>
      </c>
      <c r="C1097">
        <v>-118.68317089999999</v>
      </c>
      <c r="D1097" t="s">
        <v>5</v>
      </c>
    </row>
    <row r="1098" spans="1:4" x14ac:dyDescent="0.45">
      <c r="A1098" t="s">
        <v>1100</v>
      </c>
      <c r="B1098">
        <v>34.278789099999997</v>
      </c>
      <c r="C1098">
        <v>-118.6849024</v>
      </c>
      <c r="D1098" t="s">
        <v>5</v>
      </c>
    </row>
    <row r="1099" spans="1:4" x14ac:dyDescent="0.45">
      <c r="A1099" t="s">
        <v>1101</v>
      </c>
      <c r="B1099">
        <v>34.252894599999998</v>
      </c>
      <c r="C1099">
        <v>-118.53447199999999</v>
      </c>
      <c r="D1099" t="s">
        <v>5</v>
      </c>
    </row>
    <row r="1100" spans="1:4" x14ac:dyDescent="0.45">
      <c r="A1100" t="s">
        <v>1102</v>
      </c>
      <c r="B1100">
        <v>34.252253400000001</v>
      </c>
      <c r="C1100">
        <v>-118.53369669999999</v>
      </c>
      <c r="D1100" t="s">
        <v>5</v>
      </c>
    </row>
    <row r="1101" spans="1:4" x14ac:dyDescent="0.45">
      <c r="A1101" t="s">
        <v>1103</v>
      </c>
      <c r="B1101">
        <v>34.278062900000002</v>
      </c>
      <c r="C1101">
        <v>-118.68681599999999</v>
      </c>
      <c r="D1101" t="s">
        <v>5</v>
      </c>
    </row>
    <row r="1102" spans="1:4" x14ac:dyDescent="0.45">
      <c r="A1102" t="s">
        <v>1104</v>
      </c>
      <c r="B1102">
        <v>34.263730500000001</v>
      </c>
      <c r="C1102">
        <v>-118.6105306</v>
      </c>
      <c r="D1102" t="str">
        <f>HYPERLINK("https://streetviewpixels-pa.googleapis.com/v1/thumbnail?panoid=PWYrjFGXL4_o-DkhBkMksA&amp;cb_client=search.gws-prod.gps&amp;w=408&amp;h=240&amp;yaw=314.97617&amp;pitch=0&amp;thumbfov=100", "link")</f>
        <v>link</v>
      </c>
    </row>
    <row r="1103" spans="1:4" x14ac:dyDescent="0.45">
      <c r="A1103" t="s">
        <v>1105</v>
      </c>
      <c r="B1103">
        <v>34.239932000000003</v>
      </c>
      <c r="C1103">
        <v>-118.62905069999999</v>
      </c>
      <c r="D1103" t="str">
        <f>HYPERLINK("https://lh5.googleusercontent.com/p/AF1QipP0wYoKsAFbv1H9gAnRAzRI2gcJagBF38xA0-Q6=w426-h240-k-no", "link")</f>
        <v>link</v>
      </c>
    </row>
    <row r="1104" spans="1:4" x14ac:dyDescent="0.45">
      <c r="A1104" t="s">
        <v>1106</v>
      </c>
      <c r="B1104">
        <v>34.272425800000001</v>
      </c>
      <c r="C1104">
        <v>-118.5701055</v>
      </c>
      <c r="D1104" t="str">
        <f>HYPERLINK("https://lh5.googleusercontent.com/p/AF1QipOAsw1K7mMJjBmRnDMNjTUjiNwfCB4nwekmgbyp=w408-h306-k-no", "link")</f>
        <v>link</v>
      </c>
    </row>
    <row r="1105" spans="1:4" x14ac:dyDescent="0.45">
      <c r="A1105" t="s">
        <v>1107</v>
      </c>
      <c r="B1105">
        <v>34.260408599999998</v>
      </c>
      <c r="C1105">
        <v>-118.6588378</v>
      </c>
      <c r="D1105" t="s">
        <v>5</v>
      </c>
    </row>
    <row r="1106" spans="1:4" x14ac:dyDescent="0.45">
      <c r="A1106" t="s">
        <v>1108</v>
      </c>
      <c r="B1106">
        <v>34.2850909</v>
      </c>
      <c r="C1106">
        <v>-118.6556022</v>
      </c>
      <c r="D1106" t="s">
        <v>5</v>
      </c>
    </row>
    <row r="1107" spans="1:4" x14ac:dyDescent="0.45">
      <c r="A1107" t="s">
        <v>1109</v>
      </c>
      <c r="B1107">
        <v>34.293050700000002</v>
      </c>
      <c r="C1107">
        <v>-118.571005</v>
      </c>
      <c r="D1107" t="str">
        <f>HYPERLINK("https://lh5.googleusercontent.com/p/AF1QipNwsi6qhkVxpib35wpdPVe_g1-IKk3MtZciVgb4=w408-h544-k-no", "link")</f>
        <v>link</v>
      </c>
    </row>
    <row r="1108" spans="1:4" x14ac:dyDescent="0.45">
      <c r="A1108" t="s">
        <v>1110</v>
      </c>
      <c r="B1108">
        <v>34.307466400000003</v>
      </c>
      <c r="C1108">
        <v>-118.6034799</v>
      </c>
      <c r="D1108" t="s">
        <v>5</v>
      </c>
    </row>
    <row r="1109" spans="1:4" x14ac:dyDescent="0.45">
      <c r="A1109" t="s">
        <v>1111</v>
      </c>
      <c r="B1109">
        <v>34.308142199999899</v>
      </c>
      <c r="C1109">
        <v>-118.6067723</v>
      </c>
      <c r="D1109" t="s">
        <v>5</v>
      </c>
    </row>
    <row r="1110" spans="1:4" x14ac:dyDescent="0.45">
      <c r="A1110" t="s">
        <v>1112</v>
      </c>
      <c r="B1110">
        <v>34.231057</v>
      </c>
      <c r="C1110">
        <v>-118.533979</v>
      </c>
      <c r="D1110" t="str">
        <f>HYPERLINK("https://streetviewpixels-pa.googleapis.com/v1/thumbnail?panoid=dhXVOwCEpQB5tAqMXWX8OQ&amp;cb_client=search.gws-prod.gps&amp;w=408&amp;h=240&amp;yaw=260.56375&amp;pitch=0&amp;thumbfov=100", "link")</f>
        <v>link</v>
      </c>
    </row>
    <row r="1111" spans="1:4" x14ac:dyDescent="0.45">
      <c r="A1111" t="s">
        <v>1113</v>
      </c>
      <c r="B1111">
        <v>34.236027399999998</v>
      </c>
      <c r="C1111">
        <v>-118.53273900000001</v>
      </c>
      <c r="D1111" t="s">
        <v>5</v>
      </c>
    </row>
    <row r="1112" spans="1:4" x14ac:dyDescent="0.45">
      <c r="A1112" t="s">
        <v>1114</v>
      </c>
      <c r="B1112">
        <v>34.242187800000004</v>
      </c>
      <c r="C1112">
        <v>-118.5327344</v>
      </c>
      <c r="D1112" t="s">
        <v>5</v>
      </c>
    </row>
    <row r="1113" spans="1:4" x14ac:dyDescent="0.45">
      <c r="A1113" t="s">
        <v>1115</v>
      </c>
      <c r="B1113">
        <v>34.238132</v>
      </c>
      <c r="C1113">
        <v>-118.5322998</v>
      </c>
      <c r="D1113" t="str">
        <f>HYPERLINK("https://streetviewpixels-pa.googleapis.com/v1/thumbnail?panoid=ud_Q_TyfeCTV-7sa36Op3Q&amp;cb_client=search.gws-prod.gps&amp;w=408&amp;h=240&amp;yaw=270.28775&amp;pitch=0&amp;thumbfov=100", "link")</f>
        <v>link</v>
      </c>
    </row>
    <row r="1114" spans="1:4" x14ac:dyDescent="0.45">
      <c r="A1114" t="s">
        <v>1116</v>
      </c>
      <c r="B1114">
        <v>34.243570400000003</v>
      </c>
      <c r="C1114">
        <v>-118.53255660000001</v>
      </c>
      <c r="D1114" t="s">
        <v>5</v>
      </c>
    </row>
    <row r="1115" spans="1:4" x14ac:dyDescent="0.45">
      <c r="A1115" t="s">
        <v>1117</v>
      </c>
      <c r="B1115">
        <v>34.243449499999997</v>
      </c>
      <c r="C1115">
        <v>-118.5323451</v>
      </c>
      <c r="D1115" t="str">
        <f>HYPERLINK("https://streetviewpixels-pa.googleapis.com/v1/thumbnail?panoid=49qta7Al6wsQsAv1bpe7Xg&amp;cb_client=search.gws-prod.gps&amp;w=408&amp;h=240&amp;yaw=83.64517&amp;pitch=0&amp;thumbfov=100", "link")</f>
        <v>link</v>
      </c>
    </row>
    <row r="1116" spans="1:4" x14ac:dyDescent="0.45">
      <c r="A1116" t="s">
        <v>1118</v>
      </c>
      <c r="B1116">
        <v>34.243022699999997</v>
      </c>
      <c r="C1116">
        <v>-118.53212550000001</v>
      </c>
      <c r="D1116" t="s">
        <v>5</v>
      </c>
    </row>
    <row r="1117" spans="1:4" x14ac:dyDescent="0.45">
      <c r="A1117" t="s">
        <v>1119</v>
      </c>
      <c r="B1117">
        <v>34.244286799999998</v>
      </c>
      <c r="C1117">
        <v>-118.5311428</v>
      </c>
      <c r="D1117" t="s">
        <v>5</v>
      </c>
    </row>
    <row r="1118" spans="1:4" x14ac:dyDescent="0.45">
      <c r="A1118" t="s">
        <v>1120</v>
      </c>
      <c r="B1118">
        <v>34.244399299999998</v>
      </c>
      <c r="C1118">
        <v>-118.53054710000001</v>
      </c>
      <c r="D1118" t="str">
        <f>HYPERLINK("https://streetviewpixels-pa.googleapis.com/v1/thumbnail?panoid=F3Ammv37DETUHVsWcLDq3Q&amp;cb_client=search.gws-prod.gps&amp;w=408&amp;h=240&amp;yaw=190.47418&amp;pitch=0&amp;thumbfov=100", "link")</f>
        <v>link</v>
      </c>
    </row>
    <row r="1119" spans="1:4" x14ac:dyDescent="0.45">
      <c r="A1119" t="s">
        <v>1121</v>
      </c>
      <c r="B1119">
        <v>34.243009000000001</v>
      </c>
      <c r="C1119">
        <v>-118.5293933</v>
      </c>
      <c r="D1119" t="s">
        <v>5</v>
      </c>
    </row>
    <row r="1120" spans="1:4" x14ac:dyDescent="0.45">
      <c r="A1120" t="s">
        <v>1122</v>
      </c>
      <c r="B1120">
        <v>34.243834200000002</v>
      </c>
      <c r="C1120">
        <v>-118.5291347</v>
      </c>
      <c r="D1120" t="s">
        <v>5</v>
      </c>
    </row>
    <row r="1121" spans="1:4" x14ac:dyDescent="0.45">
      <c r="A1121" t="s">
        <v>1123</v>
      </c>
      <c r="B1121">
        <v>34.242551400000004</v>
      </c>
      <c r="C1121">
        <v>-118.52864289999999</v>
      </c>
      <c r="D1121" t="str">
        <f>HYPERLINK("https://streetviewpixels-pa.googleapis.com/v1/thumbnail?panoid=amijNRIAE1FCOSj2r1tP_g&amp;cb_client=search.gws-prod.gps&amp;w=408&amp;h=240&amp;yaw=192.2756&amp;pitch=0&amp;thumbfov=100", "link")</f>
        <v>link</v>
      </c>
    </row>
    <row r="1122" spans="1:4" x14ac:dyDescent="0.45">
      <c r="A1122" t="s">
        <v>1124</v>
      </c>
      <c r="B1122">
        <v>34.253270999999998</v>
      </c>
      <c r="C1122">
        <v>-118.532511</v>
      </c>
      <c r="D1122" t="s">
        <v>5</v>
      </c>
    </row>
    <row r="1123" spans="1:4" x14ac:dyDescent="0.45">
      <c r="A1123" t="s">
        <v>1125</v>
      </c>
      <c r="B1123">
        <v>34.243431700000002</v>
      </c>
      <c r="C1123">
        <v>-118.5285021</v>
      </c>
      <c r="D1123" t="s">
        <v>5</v>
      </c>
    </row>
    <row r="1124" spans="1:4" x14ac:dyDescent="0.45">
      <c r="A1124" t="s">
        <v>1126</v>
      </c>
      <c r="B1124">
        <v>34.243431600000001</v>
      </c>
      <c r="C1124">
        <v>-118.528502</v>
      </c>
      <c r="D1124" t="s">
        <v>5</v>
      </c>
    </row>
    <row r="1125" spans="1:4" x14ac:dyDescent="0.45">
      <c r="A1125" t="s">
        <v>1127</v>
      </c>
      <c r="B1125">
        <v>34.238901300000002</v>
      </c>
      <c r="C1125">
        <v>-118.5355666</v>
      </c>
      <c r="D1125" t="s">
        <v>5</v>
      </c>
    </row>
    <row r="1126" spans="1:4" x14ac:dyDescent="0.45">
      <c r="A1126" t="s">
        <v>1128</v>
      </c>
      <c r="B1126">
        <v>34.232669600000001</v>
      </c>
      <c r="C1126">
        <v>-118.53580599999999</v>
      </c>
      <c r="D1126" t="str">
        <f>HYPERLINK("https://streetviewpixels-pa.googleapis.com/v1/thumbnail?panoid=Qu49Y59oIB6UBS5N7NwV8Q&amp;cb_client=search.gws-prod.gps&amp;w=408&amp;h=240&amp;yaw=258.88626&amp;pitch=0&amp;thumbfov=100", "link")</f>
        <v>link</v>
      </c>
    </row>
    <row r="1127" spans="1:4" x14ac:dyDescent="0.45">
      <c r="A1127" t="s">
        <v>1129</v>
      </c>
      <c r="B1127">
        <v>34.239364999999999</v>
      </c>
      <c r="C1127">
        <v>-118.53397889999999</v>
      </c>
      <c r="D1127" t="str">
        <f>HYPERLINK("https://streetviewpixels-pa.googleapis.com/v1/thumbnail?panoid=UO4jmR8F343bobkttB1ezw&amp;cb_client=search.gws-prod.gps&amp;w=408&amp;h=240&amp;yaw=263.2762&amp;pitch=0&amp;thumbfov=100", "link")</f>
        <v>link</v>
      </c>
    </row>
    <row r="1128" spans="1:4" x14ac:dyDescent="0.45">
      <c r="A1128" t="s">
        <v>1130</v>
      </c>
      <c r="B1128">
        <v>34.237962600000003</v>
      </c>
      <c r="C1128">
        <v>-118.5332863</v>
      </c>
      <c r="D1128" t="s">
        <v>5</v>
      </c>
    </row>
    <row r="1129" spans="1:4" x14ac:dyDescent="0.45">
      <c r="A1129" t="s">
        <v>1131</v>
      </c>
      <c r="B1129">
        <v>34.239878099999999</v>
      </c>
      <c r="C1129">
        <v>-118.53314949999999</v>
      </c>
      <c r="D1129" t="s">
        <v>5</v>
      </c>
    </row>
    <row r="1130" spans="1:4" x14ac:dyDescent="0.45">
      <c r="A1130" t="s">
        <v>1132</v>
      </c>
      <c r="B1130">
        <v>34.236778800000003</v>
      </c>
      <c r="C1130">
        <v>-118.53292140000001</v>
      </c>
      <c r="D1130" t="s">
        <v>5</v>
      </c>
    </row>
    <row r="1131" spans="1:4" x14ac:dyDescent="0.45">
      <c r="A1131" t="s">
        <v>1133</v>
      </c>
      <c r="B1131">
        <v>34.255135500000002</v>
      </c>
      <c r="C1131">
        <v>-118.5319181</v>
      </c>
      <c r="D1131" t="s">
        <v>5</v>
      </c>
    </row>
    <row r="1132" spans="1:4" x14ac:dyDescent="0.45">
      <c r="A1132" t="s">
        <v>1134</v>
      </c>
      <c r="B1132">
        <v>34.2509674</v>
      </c>
      <c r="C1132">
        <v>-118.52647140000001</v>
      </c>
      <c r="D1132" t="s">
        <v>5</v>
      </c>
    </row>
    <row r="1133" spans="1:4" x14ac:dyDescent="0.45">
      <c r="A1133" t="s">
        <v>1135</v>
      </c>
      <c r="B1133">
        <v>34.285543199999999</v>
      </c>
      <c r="C1133">
        <v>-118.5339681</v>
      </c>
      <c r="D1133" t="str">
        <f>HYPERLINK("https://lh5.googleusercontent.com/p/AF1QipN7VZfPc4UIvTV27BtKIsxU3rL6kP7tPuYWTSO3=w408-h306-k-no", "link")</f>
        <v>link</v>
      </c>
    </row>
    <row r="1134" spans="1:4" x14ac:dyDescent="0.45">
      <c r="A1134" t="s">
        <v>1136</v>
      </c>
      <c r="B1134">
        <v>34.228880199999999</v>
      </c>
      <c r="C1134">
        <v>-118.5285363</v>
      </c>
      <c r="D1134" t="str">
        <f>HYPERLINK("https://streetviewpixels-pa.googleapis.com/v1/thumbnail?panoid=yf19z748DL9eeev4UPdtRw&amp;cb_client=search.gws-prod.gps&amp;w=408&amp;h=240&amp;yaw=11.348839&amp;pitch=0&amp;thumbfov=100", "link")</f>
        <v>link</v>
      </c>
    </row>
    <row r="1135" spans="1:4" x14ac:dyDescent="0.45">
      <c r="A1135" t="s">
        <v>1137</v>
      </c>
      <c r="B1135">
        <v>34.242066899999998</v>
      </c>
      <c r="C1135">
        <v>-118.52764879999999</v>
      </c>
      <c r="D1135" t="s">
        <v>5</v>
      </c>
    </row>
    <row r="1136" spans="1:4" x14ac:dyDescent="0.45">
      <c r="A1136" t="s">
        <v>1138</v>
      </c>
      <c r="B1136">
        <v>34.242845199999998</v>
      </c>
      <c r="C1136">
        <v>-118.5275398</v>
      </c>
      <c r="D1136" t="s">
        <v>5</v>
      </c>
    </row>
    <row r="1137" spans="1:4" x14ac:dyDescent="0.45">
      <c r="A1137" t="s">
        <v>1139</v>
      </c>
      <c r="B1137">
        <v>34.240764599999999</v>
      </c>
      <c r="C1137">
        <v>-118.5264365</v>
      </c>
      <c r="D1137" t="str">
        <f>HYPERLINK("https://streetviewpixels-pa.googleapis.com/v1/thumbnail?panoid=uVRsjqQdTk4U1I70TXi22Q&amp;cb_client=search.gws-prod.gps&amp;w=408&amp;h=240&amp;yaw=180.58536&amp;pitch=0&amp;thumbfov=100", "link")</f>
        <v>link</v>
      </c>
    </row>
    <row r="1138" spans="1:4" x14ac:dyDescent="0.45">
      <c r="A1138" t="s">
        <v>1140</v>
      </c>
      <c r="B1138">
        <v>34.219695399999999</v>
      </c>
      <c r="C1138">
        <v>-118.53392479999999</v>
      </c>
      <c r="D1138" t="s">
        <v>5</v>
      </c>
    </row>
    <row r="1139" spans="1:4" x14ac:dyDescent="0.45">
      <c r="A1139" t="s">
        <v>1141</v>
      </c>
      <c r="B1139">
        <v>34.2384147</v>
      </c>
      <c r="C1139">
        <v>-118.52605749999999</v>
      </c>
      <c r="D1139" t="s">
        <v>5</v>
      </c>
    </row>
    <row r="1140" spans="1:4" x14ac:dyDescent="0.45">
      <c r="A1140" t="s">
        <v>1142</v>
      </c>
      <c r="B1140">
        <v>34.307884399999999</v>
      </c>
      <c r="C1140">
        <v>-118.5109765</v>
      </c>
      <c r="D1140" t="str">
        <f>HYPERLINK("https://lh5.googleusercontent.com/p/AF1QipO4PLKCCdyFVY9nHBK3QlOaDNq-TG66BGW11WLr=w426-h240-k-no", "link")</f>
        <v>link</v>
      </c>
    </row>
    <row r="1141" spans="1:4" x14ac:dyDescent="0.45">
      <c r="A1141" t="s">
        <v>1143</v>
      </c>
      <c r="B1141">
        <v>34.253723999999998</v>
      </c>
      <c r="C1141">
        <v>-118.52425599999999</v>
      </c>
      <c r="D1141" t="s">
        <v>5</v>
      </c>
    </row>
    <row r="1142" spans="1:4" x14ac:dyDescent="0.45">
      <c r="A1142" t="s">
        <v>1144</v>
      </c>
      <c r="B1142">
        <v>34.251086399999998</v>
      </c>
      <c r="C1142">
        <v>-118.5261715</v>
      </c>
      <c r="D1142" t="s">
        <v>5</v>
      </c>
    </row>
    <row r="1143" spans="1:4" x14ac:dyDescent="0.45">
      <c r="A1143" t="s">
        <v>1145</v>
      </c>
      <c r="B1143">
        <v>34.2510057</v>
      </c>
      <c r="C1143">
        <v>-118.5237281</v>
      </c>
      <c r="D1143" t="s">
        <v>5</v>
      </c>
    </row>
    <row r="1144" spans="1:4" x14ac:dyDescent="0.45">
      <c r="A1144" t="s">
        <v>1146</v>
      </c>
      <c r="B1144">
        <v>34.249304599999903</v>
      </c>
      <c r="C1144">
        <v>-118.52553570000001</v>
      </c>
      <c r="D1144" t="s">
        <v>5</v>
      </c>
    </row>
    <row r="1145" spans="1:4" x14ac:dyDescent="0.45">
      <c r="A1145" t="s">
        <v>1147</v>
      </c>
      <c r="B1145">
        <v>34.247449699999997</v>
      </c>
      <c r="C1145">
        <v>-118.52699250000001</v>
      </c>
      <c r="D1145" t="s">
        <v>5</v>
      </c>
    </row>
    <row r="1146" spans="1:4" x14ac:dyDescent="0.45">
      <c r="A1146" t="s">
        <v>1148</v>
      </c>
      <c r="B1146">
        <v>34.248193100000002</v>
      </c>
      <c r="C1146">
        <v>-118.5253487</v>
      </c>
      <c r="D1146" t="s">
        <v>5</v>
      </c>
    </row>
    <row r="1147" spans="1:4" x14ac:dyDescent="0.45">
      <c r="A1147" t="s">
        <v>1149</v>
      </c>
      <c r="B1147">
        <v>34.105688100000002</v>
      </c>
      <c r="C1147">
        <v>-117.712733</v>
      </c>
      <c r="D1147" t="s">
        <v>5</v>
      </c>
    </row>
    <row r="1148" spans="1:4" x14ac:dyDescent="0.45">
      <c r="A1148" t="s">
        <v>1150</v>
      </c>
      <c r="B1148">
        <v>34.1066869</v>
      </c>
      <c r="C1148">
        <v>-117.7126196</v>
      </c>
      <c r="D1148" t="s">
        <v>5</v>
      </c>
    </row>
    <row r="1149" spans="1:4" x14ac:dyDescent="0.45">
      <c r="A1149" t="s">
        <v>1151</v>
      </c>
      <c r="B1149">
        <v>34.108255399999997</v>
      </c>
      <c r="C1149">
        <v>-117.724417</v>
      </c>
      <c r="D1149" t="s">
        <v>5</v>
      </c>
    </row>
    <row r="1150" spans="1:4" x14ac:dyDescent="0.45">
      <c r="A1150" t="s">
        <v>1152</v>
      </c>
      <c r="B1150">
        <v>34.102981900000003</v>
      </c>
      <c r="C1150">
        <v>-117.70679389999999</v>
      </c>
      <c r="D1150" t="s">
        <v>5</v>
      </c>
    </row>
    <row r="1151" spans="1:4" x14ac:dyDescent="0.45">
      <c r="A1151" t="s">
        <v>1153</v>
      </c>
      <c r="B1151">
        <v>34.102196300000003</v>
      </c>
      <c r="C1151">
        <v>-117.7059252</v>
      </c>
      <c r="D1151" t="s">
        <v>5</v>
      </c>
    </row>
    <row r="1152" spans="1:4" x14ac:dyDescent="0.45">
      <c r="A1152" t="s">
        <v>1154</v>
      </c>
      <c r="B1152">
        <v>34.098718699999999</v>
      </c>
      <c r="C1152">
        <v>-117.70400739999999</v>
      </c>
      <c r="D1152" t="s">
        <v>5</v>
      </c>
    </row>
    <row r="1153" spans="1:4" x14ac:dyDescent="0.45">
      <c r="A1153" t="s">
        <v>1155</v>
      </c>
      <c r="B1153">
        <v>34.102159299999997</v>
      </c>
      <c r="C1153">
        <v>-117.7051364</v>
      </c>
      <c r="D1153" t="s">
        <v>5</v>
      </c>
    </row>
    <row r="1154" spans="1:4" x14ac:dyDescent="0.45">
      <c r="A1154" t="s">
        <v>1156</v>
      </c>
      <c r="B1154">
        <v>34.098002899999997</v>
      </c>
      <c r="C1154">
        <v>-117.7030505</v>
      </c>
      <c r="D1154" t="s">
        <v>5</v>
      </c>
    </row>
    <row r="1155" spans="1:4" x14ac:dyDescent="0.45">
      <c r="A1155" t="s">
        <v>1157</v>
      </c>
      <c r="B1155">
        <v>34.102793599999998</v>
      </c>
      <c r="C1155">
        <v>-117.7048041</v>
      </c>
      <c r="D1155" t="s">
        <v>5</v>
      </c>
    </row>
    <row r="1156" spans="1:4" x14ac:dyDescent="0.45">
      <c r="A1156" t="s">
        <v>1158</v>
      </c>
      <c r="B1156">
        <v>34.106760800000004</v>
      </c>
      <c r="C1156">
        <v>-117.7083341</v>
      </c>
      <c r="D1156" t="s">
        <v>5</v>
      </c>
    </row>
    <row r="1157" spans="1:4" x14ac:dyDescent="0.45">
      <c r="A1157" t="s">
        <v>1159</v>
      </c>
      <c r="B1157">
        <v>34.103116300000003</v>
      </c>
      <c r="C1157">
        <v>-117.7037995</v>
      </c>
      <c r="D1157" t="s">
        <v>5</v>
      </c>
    </row>
    <row r="1158" spans="1:4" x14ac:dyDescent="0.45">
      <c r="A1158" t="s">
        <v>1160</v>
      </c>
      <c r="B1158">
        <v>34.106739400000002</v>
      </c>
      <c r="C1158">
        <v>-117.7067761</v>
      </c>
      <c r="D1158" t="s">
        <v>5</v>
      </c>
    </row>
    <row r="1159" spans="1:4" x14ac:dyDescent="0.45">
      <c r="A1159" t="s">
        <v>1161</v>
      </c>
      <c r="B1159">
        <v>34.088411999999998</v>
      </c>
      <c r="C1159">
        <v>-117.7012773</v>
      </c>
      <c r="D1159" t="s">
        <v>5</v>
      </c>
    </row>
    <row r="1160" spans="1:4" x14ac:dyDescent="0.45">
      <c r="A1160" t="s">
        <v>1162</v>
      </c>
      <c r="B1160">
        <v>34.106499399999997</v>
      </c>
      <c r="C1160">
        <v>-117.70512650000001</v>
      </c>
      <c r="D1160" t="s">
        <v>5</v>
      </c>
    </row>
    <row r="1161" spans="1:4" x14ac:dyDescent="0.45">
      <c r="A1161" t="s">
        <v>1163</v>
      </c>
      <c r="B1161">
        <v>34.106695500000001</v>
      </c>
      <c r="C1161">
        <v>-117.70530979999999</v>
      </c>
      <c r="D1161" t="s">
        <v>5</v>
      </c>
    </row>
    <row r="1162" spans="1:4" x14ac:dyDescent="0.45">
      <c r="A1162" t="s">
        <v>1164</v>
      </c>
      <c r="B1162">
        <v>34.088468200000001</v>
      </c>
      <c r="C1162">
        <v>-117.7002234</v>
      </c>
      <c r="D1162" t="s">
        <v>5</v>
      </c>
    </row>
    <row r="1163" spans="1:4" x14ac:dyDescent="0.45">
      <c r="A1163" t="s">
        <v>1165</v>
      </c>
      <c r="B1163">
        <v>34.0946122</v>
      </c>
      <c r="C1163">
        <v>-117.720657</v>
      </c>
      <c r="D1163" t="str">
        <f>HYPERLINK("https://streetviewpixels-pa.googleapis.com/v1/thumbnail?panoid=9b8RzlwBsOWzithdzVvLHQ&amp;cb_client=search.gws-prod.gps&amp;w=408&amp;h=240&amp;yaw=269.03735&amp;pitch=0&amp;thumbfov=100", "link")</f>
        <v>link</v>
      </c>
    </row>
    <row r="1164" spans="1:4" x14ac:dyDescent="0.45">
      <c r="A1164" t="s">
        <v>1166</v>
      </c>
      <c r="B1164">
        <v>34.094459299999997</v>
      </c>
      <c r="C1164">
        <v>-117.7206949</v>
      </c>
      <c r="D1164" t="str">
        <f>HYPERLINK("https://streetviewpixels-pa.googleapis.com/v1/thumbnail?panoid=3M6Tqy0ouRATQ5-wLuZyIg&amp;cb_client=search.gws-prod.gps&amp;w=408&amp;h=240&amp;yaw=173.50508&amp;pitch=0&amp;thumbfov=100", "link")</f>
        <v>link</v>
      </c>
    </row>
    <row r="1165" spans="1:4" x14ac:dyDescent="0.45">
      <c r="A1165" t="s">
        <v>1167</v>
      </c>
      <c r="B1165">
        <v>34.094483699999998</v>
      </c>
      <c r="C1165">
        <v>-117.7135914</v>
      </c>
      <c r="D1165" t="str">
        <f>HYPERLINK("https://lh5.googleusercontent.com/p/AF1QipNPueX0lrx4VYiXWpEuiDlF-QCAy36csSdje_ei=w408-h306-k-no", "link")</f>
        <v>link</v>
      </c>
    </row>
    <row r="1166" spans="1:4" x14ac:dyDescent="0.45">
      <c r="A1166" t="s">
        <v>1168</v>
      </c>
      <c r="B1166">
        <v>34.095284100000001</v>
      </c>
      <c r="C1166">
        <v>-117.71246309999999</v>
      </c>
      <c r="D1166" t="s">
        <v>5</v>
      </c>
    </row>
    <row r="1167" spans="1:4" x14ac:dyDescent="0.45">
      <c r="A1167" t="s">
        <v>1169</v>
      </c>
      <c r="B1167">
        <v>34.097112699999997</v>
      </c>
      <c r="C1167">
        <v>-117.7128972</v>
      </c>
      <c r="D1167" t="s">
        <v>5</v>
      </c>
    </row>
    <row r="1168" spans="1:4" x14ac:dyDescent="0.45">
      <c r="A1168" t="s">
        <v>1170</v>
      </c>
      <c r="B1168">
        <v>34.0973161</v>
      </c>
      <c r="C1168">
        <v>-117.71144409999999</v>
      </c>
      <c r="D1168" t="s">
        <v>5</v>
      </c>
    </row>
    <row r="1169" spans="1:4" x14ac:dyDescent="0.45">
      <c r="A1169" t="s">
        <v>1171</v>
      </c>
      <c r="B1169">
        <v>34.097389100000001</v>
      </c>
      <c r="C1169">
        <v>-117.711399</v>
      </c>
      <c r="D1169" t="s">
        <v>5</v>
      </c>
    </row>
    <row r="1170" spans="1:4" x14ac:dyDescent="0.45">
      <c r="A1170" t="s">
        <v>1172</v>
      </c>
      <c r="B1170">
        <v>34.095067899999897</v>
      </c>
      <c r="C1170">
        <v>-117.7107853</v>
      </c>
      <c r="D1170" t="str">
        <f>HYPERLINK("https://lh5.googleusercontent.com/p/AF1QipOxP5HYQeaG0Drc6M__iFlgecfm_wPORug0wkfS=w491-h240-k-no", "link")</f>
        <v>link</v>
      </c>
    </row>
    <row r="1171" spans="1:4" x14ac:dyDescent="0.45">
      <c r="A1171" t="s">
        <v>1173</v>
      </c>
      <c r="B1171">
        <v>34.101347400000002</v>
      </c>
      <c r="C1171">
        <v>-117.7141798</v>
      </c>
      <c r="D1171" t="s">
        <v>5</v>
      </c>
    </row>
    <row r="1172" spans="1:4" x14ac:dyDescent="0.45">
      <c r="A1172" t="s">
        <v>1174</v>
      </c>
      <c r="B1172">
        <v>34.1009776</v>
      </c>
      <c r="C1172">
        <v>-117.71352400000001</v>
      </c>
      <c r="D1172" t="s">
        <v>5</v>
      </c>
    </row>
    <row r="1173" spans="1:4" x14ac:dyDescent="0.45">
      <c r="A1173" t="s">
        <v>1175</v>
      </c>
      <c r="B1173">
        <v>34.100726100000003</v>
      </c>
      <c r="C1173">
        <v>-117.7130331</v>
      </c>
      <c r="D1173" t="s">
        <v>5</v>
      </c>
    </row>
    <row r="1174" spans="1:4" x14ac:dyDescent="0.45">
      <c r="A1174" t="s">
        <v>1176</v>
      </c>
      <c r="B1174">
        <v>34.102034699999997</v>
      </c>
      <c r="C1174">
        <v>-117.7139639</v>
      </c>
      <c r="D1174" t="s">
        <v>5</v>
      </c>
    </row>
    <row r="1175" spans="1:4" x14ac:dyDescent="0.45">
      <c r="A1175" t="s">
        <v>1177</v>
      </c>
      <c r="B1175">
        <v>34.103092099999998</v>
      </c>
      <c r="C1175">
        <v>-117.7119472</v>
      </c>
      <c r="D1175" t="s">
        <v>5</v>
      </c>
    </row>
    <row r="1176" spans="1:4" x14ac:dyDescent="0.45">
      <c r="A1176" t="s">
        <v>1178</v>
      </c>
      <c r="B1176">
        <v>34.104162500000001</v>
      </c>
      <c r="C1176">
        <v>-117.7127321</v>
      </c>
      <c r="D1176" t="s">
        <v>5</v>
      </c>
    </row>
    <row r="1177" spans="1:4" x14ac:dyDescent="0.45">
      <c r="A1177" t="s">
        <v>1179</v>
      </c>
      <c r="B1177">
        <v>34.104867599999999</v>
      </c>
      <c r="C1177">
        <v>-117.7140409</v>
      </c>
      <c r="D1177" t="s">
        <v>5</v>
      </c>
    </row>
    <row r="1178" spans="1:4" x14ac:dyDescent="0.45">
      <c r="A1178" t="s">
        <v>1180</v>
      </c>
      <c r="B1178">
        <v>34.094528599999997</v>
      </c>
      <c r="C1178">
        <v>-117.7063131</v>
      </c>
      <c r="D1178" t="s">
        <v>5</v>
      </c>
    </row>
    <row r="1179" spans="1:4" x14ac:dyDescent="0.45">
      <c r="A1179" t="s">
        <v>1181</v>
      </c>
      <c r="B1179">
        <v>34.104920999999997</v>
      </c>
      <c r="C1179">
        <v>-117.7129162</v>
      </c>
      <c r="D1179" t="s">
        <v>5</v>
      </c>
    </row>
    <row r="1180" spans="1:4" x14ac:dyDescent="0.45">
      <c r="A1180" t="s">
        <v>1182</v>
      </c>
      <c r="B1180">
        <v>34.0991541</v>
      </c>
      <c r="C1180">
        <v>-117.70672</v>
      </c>
      <c r="D1180" t="s">
        <v>5</v>
      </c>
    </row>
    <row r="1181" spans="1:4" x14ac:dyDescent="0.45">
      <c r="A1181" t="s">
        <v>1183</v>
      </c>
      <c r="B1181">
        <v>34.092370000000003</v>
      </c>
      <c r="C1181">
        <v>-117.73548</v>
      </c>
      <c r="D1181" t="str">
        <f>HYPERLINK("https://streetviewpixels-pa.googleapis.com/v1/thumbnail?panoid=kX2FJXxpXDpKb-QjAg4Hzg&amp;cb_client=search.gws-prod.gps&amp;w=408&amp;h=240&amp;yaw=141.04108&amp;pitch=0&amp;thumbfov=100", "link")</f>
        <v>link</v>
      </c>
    </row>
    <row r="1182" spans="1:4" x14ac:dyDescent="0.45">
      <c r="A1182" t="s">
        <v>1184</v>
      </c>
      <c r="B1182">
        <v>34.1027798</v>
      </c>
      <c r="C1182">
        <v>-117.7088759</v>
      </c>
      <c r="D1182" t="s">
        <v>5</v>
      </c>
    </row>
    <row r="1183" spans="1:4" x14ac:dyDescent="0.45">
      <c r="A1183" t="s">
        <v>1185</v>
      </c>
      <c r="B1183">
        <v>34.095674500000001</v>
      </c>
      <c r="C1183">
        <v>-117.69569869999999</v>
      </c>
      <c r="D1183" t="str">
        <f>HYPERLINK("https://lh5.googleusercontent.com/p/AF1QipPlna5b7aKr6cAylOU_27k2LzfUzpbqv5NU3PhD=w426-h240-k-no", "link")</f>
        <v>link</v>
      </c>
    </row>
    <row r="1184" spans="1:4" x14ac:dyDescent="0.45">
      <c r="A1184" t="s">
        <v>1186</v>
      </c>
      <c r="B1184">
        <v>34.095254199999999</v>
      </c>
      <c r="C1184">
        <v>-117.6944494</v>
      </c>
      <c r="D1184" t="s">
        <v>5</v>
      </c>
    </row>
    <row r="1185" spans="1:4" x14ac:dyDescent="0.45">
      <c r="A1185" t="s">
        <v>1187</v>
      </c>
      <c r="B1185">
        <v>34.104581400000001</v>
      </c>
      <c r="C1185">
        <v>-117.6918719</v>
      </c>
      <c r="D1185" t="s">
        <v>5</v>
      </c>
    </row>
    <row r="1186" spans="1:4" x14ac:dyDescent="0.45">
      <c r="A1186" t="s">
        <v>1188</v>
      </c>
      <c r="B1186">
        <v>34.1163004</v>
      </c>
      <c r="C1186">
        <v>-117.7092047</v>
      </c>
      <c r="D1186" t="s">
        <v>5</v>
      </c>
    </row>
    <row r="1187" spans="1:4" x14ac:dyDescent="0.45">
      <c r="A1187" t="s">
        <v>1189</v>
      </c>
      <c r="B1187">
        <v>34.129129900000002</v>
      </c>
      <c r="C1187">
        <v>-117.720595</v>
      </c>
      <c r="D1187" t="str">
        <f>HYPERLINK("https://streetviewpixels-pa.googleapis.com/v1/thumbnail?panoid=HwJLs2b9ciZ0Yyfgc-cGhw&amp;cb_client=search.gws-prod.gps&amp;w=408&amp;h=240&amp;yaw=249.63083&amp;pitch=0&amp;thumbfov=100", "link")</f>
        <v>link</v>
      </c>
    </row>
    <row r="1188" spans="1:4" x14ac:dyDescent="0.45">
      <c r="A1188" t="s">
        <v>1190</v>
      </c>
      <c r="B1188">
        <v>34.1389031</v>
      </c>
      <c r="C1188">
        <v>-117.7070171</v>
      </c>
      <c r="D1188" t="str">
        <f>HYPERLINK("https://streetviewpixels-pa.googleapis.com/v1/thumbnail?panoid=upV7zOo_8wmbP0JYROxOPg&amp;cb_client=search.gws-prod.gps&amp;w=408&amp;h=240&amp;yaw=69.13246&amp;pitch=0&amp;thumbfov=100", "link")</f>
        <v>link</v>
      </c>
    </row>
    <row r="1189" spans="1:4" x14ac:dyDescent="0.45">
      <c r="A1189" t="s">
        <v>1191</v>
      </c>
      <c r="B1189">
        <v>34.142506099999999</v>
      </c>
      <c r="C1189">
        <v>-117.7080471</v>
      </c>
      <c r="D1189" t="str">
        <f>HYPERLINK("https://streetviewpixels-pa.googleapis.com/v1/thumbnail?panoid=D4bnm-i3S-y04TwKPz2a3Q&amp;cb_client=search.gws-prod.gps&amp;w=408&amp;h=240&amp;yaw=231.0257&amp;pitch=0&amp;thumbfov=100", "link")</f>
        <v>link</v>
      </c>
    </row>
    <row r="1190" spans="1:4" x14ac:dyDescent="0.45">
      <c r="A1190" t="s">
        <v>1192</v>
      </c>
      <c r="B1190">
        <v>34.100498700000003</v>
      </c>
      <c r="C1190">
        <v>-117.68115950000001</v>
      </c>
      <c r="D1190" t="s">
        <v>5</v>
      </c>
    </row>
    <row r="1191" spans="1:4" x14ac:dyDescent="0.45">
      <c r="A1191" t="s">
        <v>1193</v>
      </c>
      <c r="B1191">
        <v>33.899897899999999</v>
      </c>
      <c r="C1191">
        <v>-118.2212359</v>
      </c>
      <c r="D1191" t="s">
        <v>5</v>
      </c>
    </row>
    <row r="1192" spans="1:4" x14ac:dyDescent="0.45">
      <c r="A1192" t="s">
        <v>1194</v>
      </c>
      <c r="B1192">
        <v>33.882834000000003</v>
      </c>
      <c r="C1192">
        <v>-118.210779</v>
      </c>
      <c r="D1192" t="str">
        <f>HYPERLINK("https://streetviewpixels-pa.googleapis.com/v1/thumbnail?panoid=_KvmnGP64i9_SMVZukZulA&amp;cb_client=search.gws-prod.gps&amp;w=408&amp;h=240&amp;yaw=87.83196&amp;pitch=0&amp;thumbfov=100", "link")</f>
        <v>link</v>
      </c>
    </row>
    <row r="1193" spans="1:4" x14ac:dyDescent="0.45">
      <c r="A1193" t="s">
        <v>1195</v>
      </c>
      <c r="B1193">
        <v>33.906574300000003</v>
      </c>
      <c r="C1193">
        <v>-118.23926609999999</v>
      </c>
      <c r="D1193" t="s">
        <v>5</v>
      </c>
    </row>
    <row r="1194" spans="1:4" x14ac:dyDescent="0.45">
      <c r="A1194" t="s">
        <v>1196</v>
      </c>
      <c r="B1194">
        <v>33.915638600000001</v>
      </c>
      <c r="C1194">
        <v>-118.2457618</v>
      </c>
      <c r="D1194" t="str">
        <f>HYPERLINK("https://streetviewpixels-pa.googleapis.com/v1/thumbnail?panoid=rNhNZsP5lxvvrNGmQNmtLw&amp;cb_client=search.gws-prod.gps&amp;w=408&amp;h=240&amp;yaw=94.747795&amp;pitch=0&amp;thumbfov=100", "link")</f>
        <v>link</v>
      </c>
    </row>
    <row r="1195" spans="1:4" x14ac:dyDescent="0.45">
      <c r="A1195" t="s">
        <v>1197</v>
      </c>
      <c r="B1195">
        <v>33.922516399999999</v>
      </c>
      <c r="C1195">
        <v>-118.2458098</v>
      </c>
      <c r="D1195" t="s">
        <v>5</v>
      </c>
    </row>
    <row r="1196" spans="1:4" x14ac:dyDescent="0.45">
      <c r="A1196" t="s">
        <v>1198</v>
      </c>
      <c r="B1196">
        <v>33.923375399999998</v>
      </c>
      <c r="C1196">
        <v>-118.2459011</v>
      </c>
      <c r="D1196" t="s">
        <v>5</v>
      </c>
    </row>
    <row r="1197" spans="1:4" x14ac:dyDescent="0.45">
      <c r="A1197" t="s">
        <v>1199</v>
      </c>
      <c r="B1197">
        <v>33.923739099999999</v>
      </c>
      <c r="C1197">
        <v>-118.2444392</v>
      </c>
      <c r="D1197" t="str">
        <f>HYPERLINK("https://lh5.googleusercontent.com/p/AF1QipP9N0iJsF4_jxSiP1UAaZF0Nv_BaX9PW5v3rxjM=w426-h240-k-no", "link")</f>
        <v>link</v>
      </c>
    </row>
    <row r="1198" spans="1:4" x14ac:dyDescent="0.45">
      <c r="A1198" t="s">
        <v>1200</v>
      </c>
      <c r="B1198">
        <v>33.922482700000003</v>
      </c>
      <c r="C1198">
        <v>-118.2401448</v>
      </c>
      <c r="D1198" t="str">
        <f>HYPERLINK("https://streetviewpixels-pa.googleapis.com/v1/thumbnail?panoid=FJA-FBsEKh9fWw_DaslfDg&amp;cb_client=search.gws-prod.gps&amp;w=408&amp;h=240&amp;yaw=198.62566&amp;pitch=0&amp;thumbfov=100", "link")</f>
        <v>link</v>
      </c>
    </row>
    <row r="1199" spans="1:4" x14ac:dyDescent="0.45">
      <c r="A1199" t="s">
        <v>1201</v>
      </c>
      <c r="B1199">
        <v>33.9239003</v>
      </c>
      <c r="C1199">
        <v>-118.2443327</v>
      </c>
      <c r="D1199" t="str">
        <f>HYPERLINK("https://lh5.googleusercontent.com/p/AF1QipP9N0iJsF4_jxSiP1UAaZF0Nv_BaX9PW5v3rxjM=w426-h240-k-no", "link")</f>
        <v>link</v>
      </c>
    </row>
    <row r="1200" spans="1:4" x14ac:dyDescent="0.45">
      <c r="A1200" t="s">
        <v>1202</v>
      </c>
      <c r="B1200">
        <v>33.924700600000001</v>
      </c>
      <c r="C1200">
        <v>-118.2441852</v>
      </c>
      <c r="D1200" t="str">
        <f>HYPERLINK("https://streetviewpixels-pa.googleapis.com/v1/thumbnail?panoid=ml0npwqpmdm8VJ2jme3W9g&amp;cb_client=search.gws-prod.gps&amp;w=408&amp;h=240&amp;yaw=317.7597&amp;pitch=0&amp;thumbfov=100", "link")</f>
        <v>link</v>
      </c>
    </row>
    <row r="1201" spans="1:4" x14ac:dyDescent="0.45">
      <c r="A1201" t="s">
        <v>1203</v>
      </c>
      <c r="B1201">
        <v>33.923490100000002</v>
      </c>
      <c r="C1201">
        <v>-118.23996200000001</v>
      </c>
      <c r="D1201" t="s">
        <v>5</v>
      </c>
    </row>
    <row r="1202" spans="1:4" x14ac:dyDescent="0.45">
      <c r="A1202" t="s">
        <v>1204</v>
      </c>
      <c r="B1202">
        <v>33.9235598</v>
      </c>
      <c r="C1202">
        <v>-118.24000359999999</v>
      </c>
      <c r="D1202" t="s">
        <v>5</v>
      </c>
    </row>
    <row r="1203" spans="1:4" x14ac:dyDescent="0.45">
      <c r="A1203" t="s">
        <v>1205</v>
      </c>
      <c r="B1203">
        <v>33.924916400000001</v>
      </c>
      <c r="C1203">
        <v>-118.24325140000001</v>
      </c>
      <c r="D1203" t="s">
        <v>5</v>
      </c>
    </row>
    <row r="1204" spans="1:4" x14ac:dyDescent="0.45">
      <c r="A1204" t="s">
        <v>1206</v>
      </c>
      <c r="B1204">
        <v>33.924081999999999</v>
      </c>
      <c r="C1204">
        <v>-118.24040170000001</v>
      </c>
      <c r="D1204" t="s">
        <v>5</v>
      </c>
    </row>
    <row r="1205" spans="1:4" x14ac:dyDescent="0.45">
      <c r="A1205" t="s">
        <v>1207</v>
      </c>
      <c r="B1205">
        <v>33.924844499999999</v>
      </c>
      <c r="C1205">
        <v>-118.24160670000001</v>
      </c>
      <c r="D1205" t="s">
        <v>5</v>
      </c>
    </row>
    <row r="1206" spans="1:4" x14ac:dyDescent="0.45">
      <c r="A1206" t="s">
        <v>1208</v>
      </c>
      <c r="B1206">
        <v>33.927486100000003</v>
      </c>
      <c r="C1206">
        <v>-118.23968790000001</v>
      </c>
      <c r="D1206" t="s">
        <v>5</v>
      </c>
    </row>
    <row r="1207" spans="1:4" x14ac:dyDescent="0.45">
      <c r="A1207" t="s">
        <v>1209</v>
      </c>
      <c r="B1207">
        <v>33.927224000000002</v>
      </c>
      <c r="C1207">
        <v>-118.2380618</v>
      </c>
      <c r="D1207" t="s">
        <v>5</v>
      </c>
    </row>
    <row r="1208" spans="1:4" x14ac:dyDescent="0.45">
      <c r="A1208" t="s">
        <v>1210</v>
      </c>
      <c r="B1208">
        <v>33.928400099999998</v>
      </c>
      <c r="C1208">
        <v>-118.2385914</v>
      </c>
      <c r="D1208" t="s">
        <v>5</v>
      </c>
    </row>
    <row r="1209" spans="1:4" x14ac:dyDescent="0.45">
      <c r="A1209" t="s">
        <v>1211</v>
      </c>
      <c r="B1209">
        <v>33.928475300000002</v>
      </c>
      <c r="C1209">
        <v>-118.2386499</v>
      </c>
      <c r="D1209" t="s">
        <v>5</v>
      </c>
    </row>
    <row r="1210" spans="1:4" x14ac:dyDescent="0.45">
      <c r="A1210" t="s">
        <v>1212</v>
      </c>
      <c r="B1210">
        <v>33.9240487</v>
      </c>
      <c r="C1210">
        <v>-118.2097349</v>
      </c>
      <c r="D1210" t="str">
        <f>HYPERLINK("https://lh5.googleusercontent.com/p/AF1QipPKEhtBNQbMhsWYK-ckEhO74BCbLWn08pPRvG4P=w408-h408-k-no", "link")</f>
        <v>link</v>
      </c>
    </row>
    <row r="1211" spans="1:4" x14ac:dyDescent="0.45">
      <c r="A1211" t="s">
        <v>1213</v>
      </c>
      <c r="B1211">
        <v>33.9284313</v>
      </c>
      <c r="C1211">
        <v>-118.2127687</v>
      </c>
      <c r="D1211" t="str">
        <f>HYPERLINK("https://streetviewpixels-pa.googleapis.com/v1/thumbnail?panoid=viUZWoHyOk5aCydjVQLGDA&amp;cb_client=search.gws-prod.gps&amp;w=408&amp;h=240&amp;yaw=192.58095&amp;pitch=0&amp;thumbfov=100", "link")</f>
        <v>link</v>
      </c>
    </row>
    <row r="1212" spans="1:4" x14ac:dyDescent="0.45">
      <c r="A1212" t="s">
        <v>1214</v>
      </c>
      <c r="B1212">
        <v>33.838412099999999</v>
      </c>
      <c r="C1212">
        <v>-118.19660570000001</v>
      </c>
      <c r="D1212" t="str">
        <f>HYPERLINK("https://streetviewpixels-pa.googleapis.com/v1/thumbnail?panoid=e5gnttIktgq1vZ5x43smyA&amp;cb_client=search.gws-prod.gps&amp;w=408&amp;h=240&amp;yaw=193.42079&amp;pitch=0&amp;thumbfov=100", "link")</f>
        <v>link</v>
      </c>
    </row>
    <row r="1213" spans="1:4" x14ac:dyDescent="0.45">
      <c r="A1213" t="s">
        <v>1215</v>
      </c>
      <c r="B1213">
        <v>33.818714</v>
      </c>
      <c r="C1213">
        <v>-118.17989</v>
      </c>
      <c r="D1213" t="str">
        <f>HYPERLINK("https://streetviewpixels-pa.googleapis.com/v1/thumbnail?panoid=yekN1FZusjfWKl4-AG9etQ&amp;cb_client=search.gws-prod.gps&amp;w=408&amp;h=240&amp;yaw=189.21864&amp;pitch=0&amp;thumbfov=100", "link")</f>
        <v>link</v>
      </c>
    </row>
    <row r="1214" spans="1:4" x14ac:dyDescent="0.45">
      <c r="A1214" t="s">
        <v>1216</v>
      </c>
      <c r="B1214">
        <v>33.843348799999902</v>
      </c>
      <c r="C1214">
        <v>-118.185283</v>
      </c>
      <c r="D1214" t="s">
        <v>5</v>
      </c>
    </row>
    <row r="1215" spans="1:4" x14ac:dyDescent="0.45">
      <c r="A1215" t="s">
        <v>1217</v>
      </c>
      <c r="B1215">
        <v>33.824397099999999</v>
      </c>
      <c r="C1215">
        <v>-118.18355080000001</v>
      </c>
      <c r="D1215" t="str">
        <f>HYPERLINK("https://streetviewpixels-pa.googleapis.com/v1/thumbnail?panoid=Z0AYHeb9xfdhySScVCzrAA&amp;cb_client=search.gws-prod.gps&amp;w=408&amp;h=240&amp;yaw=86.378456&amp;pitch=0&amp;thumbfov=100", "link")</f>
        <v>link</v>
      </c>
    </row>
    <row r="1216" spans="1:4" x14ac:dyDescent="0.45">
      <c r="A1216" t="s">
        <v>1218</v>
      </c>
      <c r="B1216">
        <v>34.067130900000002</v>
      </c>
      <c r="C1216">
        <v>-117.89125749999999</v>
      </c>
      <c r="D1216" t="s">
        <v>5</v>
      </c>
    </row>
    <row r="1217" spans="1:4" x14ac:dyDescent="0.45">
      <c r="A1217" t="s">
        <v>1219</v>
      </c>
      <c r="B1217">
        <v>34.062114000000001</v>
      </c>
      <c r="C1217">
        <v>-117.906413</v>
      </c>
      <c r="D1217" t="s">
        <v>5</v>
      </c>
    </row>
    <row r="1218" spans="1:4" x14ac:dyDescent="0.45">
      <c r="A1218" t="s">
        <v>1220</v>
      </c>
      <c r="B1218">
        <v>34.061724400000003</v>
      </c>
      <c r="C1218">
        <v>-117.90746799999999</v>
      </c>
      <c r="D1218" t="str">
        <f>HYPERLINK("https://streetviewpixels-pa.googleapis.com/v1/thumbnail?panoid=8voG4VDRHDLkRItQqZ8MFQ&amp;cb_client=search.gws-prod.gps&amp;w=408&amp;h=240&amp;yaw=92.82215&amp;pitch=0&amp;thumbfov=100", "link")</f>
        <v>link</v>
      </c>
    </row>
    <row r="1219" spans="1:4" x14ac:dyDescent="0.45">
      <c r="A1219" t="s">
        <v>1221</v>
      </c>
      <c r="B1219">
        <v>34.058411499999899</v>
      </c>
      <c r="C1219">
        <v>-117.9105055</v>
      </c>
      <c r="D1219" t="str">
        <f>HYPERLINK("https://streetviewpixels-pa.googleapis.com/v1/thumbnail?panoid=wntCeUHO7ecEP4Hpn4EFvQ&amp;cb_client=search.gws-prod.gps&amp;w=408&amp;h=240&amp;yaw=352.8828&amp;pitch=0&amp;thumbfov=100", "link")</f>
        <v>link</v>
      </c>
    </row>
    <row r="1220" spans="1:4" x14ac:dyDescent="0.45">
      <c r="A1220" t="s">
        <v>1222</v>
      </c>
      <c r="B1220">
        <v>34.046414300000002</v>
      </c>
      <c r="C1220">
        <v>-117.8714233</v>
      </c>
      <c r="D1220" t="s">
        <v>5</v>
      </c>
    </row>
    <row r="1221" spans="1:4" x14ac:dyDescent="0.45">
      <c r="A1221" t="s">
        <v>1223</v>
      </c>
      <c r="B1221">
        <v>34.050283899999997</v>
      </c>
      <c r="C1221">
        <v>-117.94659369999999</v>
      </c>
      <c r="D1221" t="str">
        <f>HYPERLINK("https://streetviewpixels-pa.googleapis.com/v1/thumbnail?panoid=mkaX79G65Rztj6Yl2jYcxw&amp;cb_client=search.gws-prod.gps&amp;w=408&amp;h=240&amp;yaw=338.74493&amp;pitch=0&amp;thumbfov=100", "link")</f>
        <v>link</v>
      </c>
    </row>
    <row r="1222" spans="1:4" x14ac:dyDescent="0.45">
      <c r="A1222" t="s">
        <v>1224</v>
      </c>
      <c r="B1222">
        <v>34.024871699999998</v>
      </c>
      <c r="C1222">
        <v>-117.8991767</v>
      </c>
      <c r="D1222" t="s">
        <v>5</v>
      </c>
    </row>
    <row r="1223" spans="1:4" x14ac:dyDescent="0.45">
      <c r="A1223" t="s">
        <v>1225</v>
      </c>
      <c r="B1223">
        <v>34.027658500000001</v>
      </c>
      <c r="C1223">
        <v>-117.9361588</v>
      </c>
      <c r="D1223" t="s">
        <v>5</v>
      </c>
    </row>
    <row r="1224" spans="1:4" x14ac:dyDescent="0.45">
      <c r="A1224" t="s">
        <v>1226</v>
      </c>
      <c r="B1224">
        <v>34.026252599999999</v>
      </c>
      <c r="C1224">
        <v>-117.9369825</v>
      </c>
      <c r="D1224" t="s">
        <v>5</v>
      </c>
    </row>
    <row r="1225" spans="1:4" x14ac:dyDescent="0.45">
      <c r="A1225" t="s">
        <v>1227</v>
      </c>
      <c r="B1225">
        <v>34.019196700000002</v>
      </c>
      <c r="C1225">
        <v>-117.89794070000001</v>
      </c>
      <c r="D1225" t="s">
        <v>5</v>
      </c>
    </row>
    <row r="1226" spans="1:4" x14ac:dyDescent="0.45">
      <c r="A1226" t="s">
        <v>1228</v>
      </c>
      <c r="B1226">
        <v>34.018814599999999</v>
      </c>
      <c r="C1226">
        <v>-117.8994971</v>
      </c>
      <c r="D1226" t="s">
        <v>5</v>
      </c>
    </row>
    <row r="1227" spans="1:4" x14ac:dyDescent="0.45">
      <c r="A1227" t="s">
        <v>1229</v>
      </c>
      <c r="B1227">
        <v>34.020904799999997</v>
      </c>
      <c r="C1227">
        <v>-117.92544940000001</v>
      </c>
      <c r="D1227" t="s">
        <v>5</v>
      </c>
    </row>
    <row r="1228" spans="1:4" x14ac:dyDescent="0.45">
      <c r="A1228" t="s">
        <v>1230</v>
      </c>
      <c r="B1228">
        <v>34.027353499999997</v>
      </c>
      <c r="C1228">
        <v>-117.9422912</v>
      </c>
      <c r="D1228" t="s">
        <v>5</v>
      </c>
    </row>
    <row r="1229" spans="1:4" x14ac:dyDescent="0.45">
      <c r="A1229" t="s">
        <v>1231</v>
      </c>
      <c r="B1229">
        <v>34.020043800000003</v>
      </c>
      <c r="C1229">
        <v>-117.9276462</v>
      </c>
      <c r="D1229" t="s">
        <v>5</v>
      </c>
    </row>
    <row r="1230" spans="1:4" x14ac:dyDescent="0.45">
      <c r="A1230" t="s">
        <v>1232</v>
      </c>
      <c r="B1230">
        <v>34.019401899999998</v>
      </c>
      <c r="C1230">
        <v>-117.9276462</v>
      </c>
      <c r="D1230" t="s">
        <v>5</v>
      </c>
    </row>
    <row r="1231" spans="1:4" x14ac:dyDescent="0.45">
      <c r="A1231" t="s">
        <v>1233</v>
      </c>
      <c r="B1231">
        <v>34.025146599999999</v>
      </c>
      <c r="C1231">
        <v>-117.9408268</v>
      </c>
      <c r="D1231" t="s">
        <v>5</v>
      </c>
    </row>
    <row r="1232" spans="1:4" x14ac:dyDescent="0.45">
      <c r="A1232" t="s">
        <v>1234</v>
      </c>
      <c r="B1232">
        <v>34.043929200000001</v>
      </c>
      <c r="C1232">
        <v>-117.8994971</v>
      </c>
      <c r="D1232" t="str">
        <f>HYPERLINK("https://lh5.googleusercontent.com/p/AF1QipOObTn06x-oJgTWbfGdbSxKy9rASnpMo7-yvZ5P=w426-h240-k-no", "link")</f>
        <v>link</v>
      </c>
    </row>
    <row r="1233" spans="1:4" x14ac:dyDescent="0.45">
      <c r="A1233" t="s">
        <v>1235</v>
      </c>
      <c r="B1233">
        <v>34.0395197</v>
      </c>
      <c r="C1233">
        <v>-117.9092583</v>
      </c>
      <c r="D1233" t="str">
        <f>HYPERLINK("https://streetviewpixels-pa.googleapis.com/v1/thumbnail?panoid=4OrvMfUSKlvvT8vcjPghJw&amp;cb_client=search.gws-prod.gps&amp;w=408&amp;h=240&amp;yaw=323.8478&amp;pitch=0&amp;thumbfov=100", "link")</f>
        <v>link</v>
      </c>
    </row>
    <row r="1234" spans="1:4" x14ac:dyDescent="0.45">
      <c r="A1234" t="s">
        <v>1236</v>
      </c>
      <c r="B1234">
        <v>34.0692339</v>
      </c>
      <c r="C1234">
        <v>-117.83788819999999</v>
      </c>
      <c r="D1234" t="str">
        <f>HYPERLINK("https://lh5.googleusercontent.com/p/AF1QipNQR6z5L_jNLlgFW_MsDw9NPeORSqAav2D35Ei3=w426-h240-k-no", "link")</f>
        <v>link</v>
      </c>
    </row>
    <row r="1235" spans="1:4" x14ac:dyDescent="0.45">
      <c r="A1235" t="s">
        <v>1237</v>
      </c>
      <c r="B1235">
        <v>34.057634999999998</v>
      </c>
      <c r="C1235">
        <v>-117.8288586</v>
      </c>
      <c r="D1235" t="str">
        <f>HYPERLINK("https://streetviewpixels-pa.googleapis.com/v1/thumbnail?panoid=A8ahy-CmTz3dsVli_OoV6g&amp;cb_client=search.gws-prod.gps&amp;w=408&amp;h=240&amp;yaw=38.956245&amp;pitch=0&amp;thumbfov=100", "link")</f>
        <v>link</v>
      </c>
    </row>
    <row r="1236" spans="1:4" x14ac:dyDescent="0.45">
      <c r="A1236" t="s">
        <v>1238</v>
      </c>
      <c r="B1236">
        <v>34.060642700000002</v>
      </c>
      <c r="C1236">
        <v>-117.8246403</v>
      </c>
      <c r="D1236" t="s">
        <v>5</v>
      </c>
    </row>
    <row r="1237" spans="1:4" x14ac:dyDescent="0.45">
      <c r="A1237" t="s">
        <v>1239</v>
      </c>
      <c r="B1237">
        <v>34.057466599999998</v>
      </c>
      <c r="C1237">
        <v>-117.82876160000001</v>
      </c>
      <c r="D1237" t="str">
        <f>HYPERLINK("https://streetviewpixels-pa.googleapis.com/v1/thumbnail?panoid=niHpZAtOuuQI94dlJOEinQ&amp;cb_client=search.gws-prod.gps&amp;w=408&amp;h=240&amp;yaw=40.596848&amp;pitch=0&amp;thumbfov=100", "link")</f>
        <v>link</v>
      </c>
    </row>
    <row r="1238" spans="1:4" x14ac:dyDescent="0.45">
      <c r="A1238" t="s">
        <v>1240</v>
      </c>
      <c r="B1238">
        <v>34.057462699999903</v>
      </c>
      <c r="C1238">
        <v>-117.8287686</v>
      </c>
      <c r="D1238" t="str">
        <f>HYPERLINK("https://streetviewpixels-pa.googleapis.com/v1/thumbnail?panoid=niHpZAtOuuQI94dlJOEinQ&amp;cb_client=search.gws-prod.gps&amp;w=408&amp;h=240&amp;yaw=40.596848&amp;pitch=0&amp;thumbfov=100", "link")</f>
        <v>link</v>
      </c>
    </row>
    <row r="1239" spans="1:4" x14ac:dyDescent="0.45">
      <c r="A1239" t="s">
        <v>1241</v>
      </c>
      <c r="B1239">
        <v>34.056564000000002</v>
      </c>
      <c r="C1239">
        <v>-117.8286801</v>
      </c>
      <c r="D1239" t="str">
        <f>HYPERLINK("https://streetviewpixels-pa.googleapis.com/v1/thumbnail?panoid=wdF-5IGKjFy6uuSNW0YZcw&amp;cb_client=search.gws-prod.gps&amp;w=408&amp;h=240&amp;yaw=185.85008&amp;pitch=0&amp;thumbfov=100", "link")</f>
        <v>link</v>
      </c>
    </row>
    <row r="1240" spans="1:4" x14ac:dyDescent="0.45">
      <c r="A1240" t="s">
        <v>1242</v>
      </c>
      <c r="B1240">
        <v>34.055784799999998</v>
      </c>
      <c r="C1240">
        <v>-117.8294027</v>
      </c>
      <c r="D1240" t="s">
        <v>5</v>
      </c>
    </row>
    <row r="1241" spans="1:4" x14ac:dyDescent="0.45">
      <c r="A1241" t="s">
        <v>1243</v>
      </c>
      <c r="B1241">
        <v>34.055407600000002</v>
      </c>
      <c r="C1241">
        <v>-117.829769</v>
      </c>
      <c r="D1241" t="str">
        <f>HYPERLINK("https://lh5.googleusercontent.com/p/AF1QipMamCv7jiz49JLgh_yYmp-PGPlGyrz3IMab4dZu=w408-h306-k-no", "link")</f>
        <v>link</v>
      </c>
    </row>
    <row r="1242" spans="1:4" x14ac:dyDescent="0.45">
      <c r="A1242" t="s">
        <v>1244</v>
      </c>
      <c r="B1242">
        <v>34.057293600000001</v>
      </c>
      <c r="C1242">
        <v>-117.82594539999999</v>
      </c>
      <c r="D1242" t="str">
        <f>HYPERLINK("https://streetviewpixels-pa.googleapis.com/v1/thumbnail?panoid=Npb_rYBfuniekNjOAufOfA&amp;cb_client=search.gws-prod.gps&amp;w=408&amp;h=240&amp;yaw=328.12073&amp;pitch=0&amp;thumbfov=100", "link")</f>
        <v>link</v>
      </c>
    </row>
    <row r="1243" spans="1:4" x14ac:dyDescent="0.45">
      <c r="A1243" t="s">
        <v>1245</v>
      </c>
      <c r="B1243">
        <v>34.055385000000001</v>
      </c>
      <c r="C1243">
        <v>-117.8254645</v>
      </c>
      <c r="D1243" t="s">
        <v>5</v>
      </c>
    </row>
    <row r="1244" spans="1:4" x14ac:dyDescent="0.45">
      <c r="A1244" t="s">
        <v>1246</v>
      </c>
      <c r="B1244">
        <v>34.060954500000001</v>
      </c>
      <c r="C1244">
        <v>-117.8187786</v>
      </c>
      <c r="D1244" t="s">
        <v>5</v>
      </c>
    </row>
    <row r="1245" spans="1:4" x14ac:dyDescent="0.45">
      <c r="A1245" t="s">
        <v>1247</v>
      </c>
      <c r="B1245">
        <v>34.061441899999998</v>
      </c>
      <c r="C1245">
        <v>-117.8177711</v>
      </c>
      <c r="D1245" t="s">
        <v>5</v>
      </c>
    </row>
    <row r="1246" spans="1:4" x14ac:dyDescent="0.45">
      <c r="A1246" t="s">
        <v>1248</v>
      </c>
      <c r="B1246">
        <v>34.0623158</v>
      </c>
      <c r="C1246">
        <v>-117.81690930000001</v>
      </c>
      <c r="D1246" t="s">
        <v>5</v>
      </c>
    </row>
    <row r="1247" spans="1:4" x14ac:dyDescent="0.45">
      <c r="A1247" t="s">
        <v>1249</v>
      </c>
      <c r="B1247">
        <v>34.062205499999997</v>
      </c>
      <c r="C1247">
        <v>-117.8169468</v>
      </c>
      <c r="D1247" t="s">
        <v>5</v>
      </c>
    </row>
    <row r="1248" spans="1:4" x14ac:dyDescent="0.45">
      <c r="A1248" t="s">
        <v>1250</v>
      </c>
      <c r="B1248">
        <v>34.060889600000003</v>
      </c>
      <c r="C1248">
        <v>-117.81740480000001</v>
      </c>
      <c r="D1248" t="s">
        <v>5</v>
      </c>
    </row>
    <row r="1249" spans="1:4" x14ac:dyDescent="0.45">
      <c r="A1249" t="s">
        <v>1251</v>
      </c>
      <c r="B1249">
        <v>34.060875500000002</v>
      </c>
      <c r="C1249">
        <v>-117.817347</v>
      </c>
      <c r="D1249" t="s">
        <v>5</v>
      </c>
    </row>
    <row r="1250" spans="1:4" x14ac:dyDescent="0.45">
      <c r="A1250" t="s">
        <v>1252</v>
      </c>
      <c r="B1250">
        <v>34.062121699999999</v>
      </c>
      <c r="C1250">
        <v>-117.8163057</v>
      </c>
      <c r="D1250" t="s">
        <v>5</v>
      </c>
    </row>
    <row r="1251" spans="1:4" x14ac:dyDescent="0.45">
      <c r="A1251" t="s">
        <v>1253</v>
      </c>
      <c r="B1251">
        <v>34.061949599999899</v>
      </c>
      <c r="C1251">
        <v>-117.8163378</v>
      </c>
      <c r="D1251" t="s">
        <v>5</v>
      </c>
    </row>
    <row r="1252" spans="1:4" x14ac:dyDescent="0.45">
      <c r="A1252" t="s">
        <v>1254</v>
      </c>
      <c r="B1252">
        <v>34.060468200000003</v>
      </c>
      <c r="C1252">
        <v>-117.8170379</v>
      </c>
      <c r="D1252" t="s">
        <v>5</v>
      </c>
    </row>
    <row r="1253" spans="1:4" x14ac:dyDescent="0.45">
      <c r="A1253" t="s">
        <v>1255</v>
      </c>
      <c r="B1253">
        <v>34.049757100000001</v>
      </c>
      <c r="C1253">
        <v>-117.8394309</v>
      </c>
      <c r="D1253" t="s">
        <v>5</v>
      </c>
    </row>
    <row r="1254" spans="1:4" x14ac:dyDescent="0.45">
      <c r="A1254" t="s">
        <v>1256</v>
      </c>
      <c r="B1254">
        <v>34.021313499999998</v>
      </c>
      <c r="C1254">
        <v>-117.9542797</v>
      </c>
      <c r="D1254" t="str">
        <f>HYPERLINK("https://lh5.googleusercontent.com/p/AF1QipNsOBI7fn4cAx6G0gsbIJNxdJk-lrUjtqux52sV=w408-h306-k-no", "link")</f>
        <v>link</v>
      </c>
    </row>
    <row r="1255" spans="1:4" x14ac:dyDescent="0.45">
      <c r="A1255" t="s">
        <v>1257</v>
      </c>
      <c r="B1255">
        <v>33.995316000000003</v>
      </c>
      <c r="C1255">
        <v>-117.925619</v>
      </c>
      <c r="D1255" t="str">
        <f>HYPERLINK("https://streetviewpixels-pa.googleapis.com/v1/thumbnail?panoid=GO93pGx3L5fcK6ibDkteOA&amp;cb_client=search.gws-prod.gps&amp;w=408&amp;h=240&amp;yaw=181.00427&amp;pitch=0&amp;thumbfov=100", "link")</f>
        <v>link</v>
      </c>
    </row>
    <row r="1256" spans="1:4" x14ac:dyDescent="0.45">
      <c r="A1256" t="s">
        <v>1258</v>
      </c>
      <c r="B1256">
        <v>34.023586399999999</v>
      </c>
      <c r="C1256">
        <v>-117.8551018</v>
      </c>
      <c r="D1256" t="str">
        <f>HYPERLINK("https://lh5.googleusercontent.com/p/AF1QipOKsRO8e4QdvkJG_piNuAancKXmMWMnbIl3PtL_=w408-h306-k-no", "link")</f>
        <v>link</v>
      </c>
    </row>
    <row r="1257" spans="1:4" x14ac:dyDescent="0.45">
      <c r="A1257" t="s">
        <v>1259</v>
      </c>
      <c r="B1257">
        <v>33.991366499999998</v>
      </c>
      <c r="C1257">
        <v>-117.9263512</v>
      </c>
      <c r="D1257" t="str">
        <f>HYPERLINK("https://lh5.googleusercontent.com/p/AF1QipP8lqwpPsU7Ji2VaFAJfwZGMO-733b1cEJ0jtcL=w408-h306-k-no", "link")</f>
        <v>link</v>
      </c>
    </row>
    <row r="1258" spans="1:4" x14ac:dyDescent="0.45">
      <c r="A1258" t="s">
        <v>1260</v>
      </c>
      <c r="B1258">
        <v>33.9917832</v>
      </c>
      <c r="C1258">
        <v>-117.9283844</v>
      </c>
      <c r="D1258" t="s">
        <v>5</v>
      </c>
    </row>
    <row r="1259" spans="1:4" x14ac:dyDescent="0.45">
      <c r="A1259" t="s">
        <v>1261</v>
      </c>
      <c r="B1259">
        <v>34.025763499999996</v>
      </c>
      <c r="C1259">
        <v>-117.8497333</v>
      </c>
      <c r="D1259" t="s">
        <v>5</v>
      </c>
    </row>
    <row r="1260" spans="1:4" x14ac:dyDescent="0.45">
      <c r="A1260" t="s">
        <v>1262</v>
      </c>
      <c r="B1260">
        <v>34.044152699999998</v>
      </c>
      <c r="C1260">
        <v>-117.847514</v>
      </c>
      <c r="D1260" t="s">
        <v>5</v>
      </c>
    </row>
    <row r="1261" spans="1:4" x14ac:dyDescent="0.45">
      <c r="A1261" t="s">
        <v>1263</v>
      </c>
      <c r="B1261">
        <v>34.017904299999998</v>
      </c>
      <c r="C1261">
        <v>-118.3987614</v>
      </c>
      <c r="D1261" t="str">
        <f>HYPERLINK("https://streetviewpixels-pa.googleapis.com/v1/thumbnail?panoid=CB8zuX74qhOUcc-hJvNyxQ&amp;cb_client=search.gws-prod.gps&amp;w=408&amp;h=240&amp;yaw=17.263193&amp;pitch=0&amp;thumbfov=100", "link")</f>
        <v>link</v>
      </c>
    </row>
    <row r="1262" spans="1:4" x14ac:dyDescent="0.45">
      <c r="A1262" t="s">
        <v>1264</v>
      </c>
      <c r="B1262">
        <v>34.020656899999999</v>
      </c>
      <c r="C1262">
        <v>-118.3979626</v>
      </c>
      <c r="D1262" t="str">
        <f>HYPERLINK("https://lh5.googleusercontent.com/p/AF1QipN2X6j52SFnCZZv32rNdmSfr16klxcmf6WPIpbW=w426-h240-k-no", "link")</f>
        <v>link</v>
      </c>
    </row>
    <row r="1263" spans="1:4" x14ac:dyDescent="0.45">
      <c r="A1263" t="s">
        <v>1265</v>
      </c>
      <c r="B1263">
        <v>34.022926099999999</v>
      </c>
      <c r="C1263">
        <v>-118.3960912</v>
      </c>
      <c r="D1263" t="s">
        <v>5</v>
      </c>
    </row>
    <row r="1264" spans="1:4" x14ac:dyDescent="0.45">
      <c r="A1264" t="s">
        <v>1266</v>
      </c>
      <c r="B1264">
        <v>34.024578400000003</v>
      </c>
      <c r="C1264">
        <v>-118.39348940000001</v>
      </c>
      <c r="D1264" t="s">
        <v>5</v>
      </c>
    </row>
    <row r="1265" spans="1:4" x14ac:dyDescent="0.45">
      <c r="A1265" t="s">
        <v>1267</v>
      </c>
      <c r="B1265">
        <v>34.024590199999999</v>
      </c>
      <c r="C1265">
        <v>-118.3935966</v>
      </c>
      <c r="D1265" t="s">
        <v>5</v>
      </c>
    </row>
    <row r="1266" spans="1:4" x14ac:dyDescent="0.45">
      <c r="A1266" t="s">
        <v>1268</v>
      </c>
      <c r="B1266">
        <v>34.023446200000002</v>
      </c>
      <c r="C1266">
        <v>-118.3957717</v>
      </c>
      <c r="D1266" t="str">
        <f>HYPERLINK("https://streetviewpixels-pa.googleapis.com/v1/thumbnail?panoid=4F6wmeW3TlDN1Kp0d-YWIw&amp;cb_client=search.gws-prod.gps&amp;w=408&amp;h=240&amp;yaw=356.75812&amp;pitch=0&amp;thumbfov=100", "link")</f>
        <v>link</v>
      </c>
    </row>
    <row r="1267" spans="1:4" x14ac:dyDescent="0.45">
      <c r="A1267" t="s">
        <v>1269</v>
      </c>
      <c r="B1267">
        <v>34.023438400000003</v>
      </c>
      <c r="C1267">
        <v>-118.3958087</v>
      </c>
      <c r="D1267" t="str">
        <f>HYPERLINK("https://streetviewpixels-pa.googleapis.com/v1/thumbnail?panoid=4F6wmeW3TlDN1Kp0d-YWIw&amp;cb_client=search.gws-prod.gps&amp;w=408&amp;h=240&amp;yaw=356.75812&amp;pitch=0&amp;thumbfov=100", "link")</f>
        <v>link</v>
      </c>
    </row>
    <row r="1268" spans="1:4" x14ac:dyDescent="0.45">
      <c r="A1268" t="s">
        <v>1270</v>
      </c>
      <c r="B1268">
        <v>34.025231099999999</v>
      </c>
      <c r="C1268">
        <v>-118.392425</v>
      </c>
      <c r="D1268" t="str">
        <f>HYPERLINK("https://streetviewpixels-pa.googleapis.com/v1/thumbnail?panoid=LVvnnrLU3yvy9STUcTWiSA&amp;cb_client=search.gws-prod.gps&amp;w=408&amp;h=240&amp;yaw=323.70413&amp;pitch=0&amp;thumbfov=100", "link")</f>
        <v>link</v>
      </c>
    </row>
    <row r="1269" spans="1:4" x14ac:dyDescent="0.45">
      <c r="A1269" t="s">
        <v>1271</v>
      </c>
      <c r="B1269">
        <v>34.023538799999898</v>
      </c>
      <c r="C1269">
        <v>-118.39608200000001</v>
      </c>
      <c r="D1269" t="str">
        <f>HYPERLINK("https://streetviewpixels-pa.googleapis.com/v1/thumbnail?panoid=4F6wmeW3TlDN1Kp0d-YWIw&amp;cb_client=search.gws-prod.gps&amp;w=408&amp;h=240&amp;yaw=356.75812&amp;pitch=0&amp;thumbfov=100", "link")</f>
        <v>link</v>
      </c>
    </row>
    <row r="1270" spans="1:4" x14ac:dyDescent="0.45">
      <c r="A1270" t="s">
        <v>1272</v>
      </c>
      <c r="B1270">
        <v>34.022456400000003</v>
      </c>
      <c r="C1270">
        <v>-118.39752850000001</v>
      </c>
      <c r="D1270" t="s">
        <v>5</v>
      </c>
    </row>
    <row r="1271" spans="1:4" x14ac:dyDescent="0.45">
      <c r="A1271" t="s">
        <v>1273</v>
      </c>
      <c r="B1271">
        <v>34.024221699999998</v>
      </c>
      <c r="C1271">
        <v>-118.3953063</v>
      </c>
      <c r="D1271" t="str">
        <f>HYPERLINK("https://streetviewpixels-pa.googleapis.com/v1/thumbnail?panoid=9AaUzanK1M8Mi4nmzkwdPg&amp;cb_client=search.gws-prod.gps&amp;w=408&amp;h=240&amp;yaw=35.250565&amp;pitch=0&amp;thumbfov=100", "link")</f>
        <v>link</v>
      </c>
    </row>
    <row r="1272" spans="1:4" x14ac:dyDescent="0.45">
      <c r="A1272" t="s">
        <v>1274</v>
      </c>
      <c r="B1272">
        <v>34.026521500000001</v>
      </c>
      <c r="C1272">
        <v>-118.3887258</v>
      </c>
      <c r="D1272" t="str">
        <f>HYPERLINK("https://streetviewpixels-pa.googleapis.com/v1/thumbnail?panoid=lxoAYTJTV0xLkB7eyn_SbA&amp;cb_client=search.gws-prod.gps&amp;w=408&amp;h=240&amp;yaw=316.31134&amp;pitch=0&amp;thumbfov=100", "link")</f>
        <v>link</v>
      </c>
    </row>
    <row r="1273" spans="1:4" x14ac:dyDescent="0.45">
      <c r="A1273" t="s">
        <v>1275</v>
      </c>
      <c r="B1273">
        <v>34.0243836</v>
      </c>
      <c r="C1273">
        <v>-118.3952239</v>
      </c>
      <c r="D1273" t="str">
        <f>HYPERLINK("https://streetviewpixels-pa.googleapis.com/v1/thumbnail?panoid=9AaUzanK1M8Mi4nmzkwdPg&amp;cb_client=search.gws-prod.gps&amp;w=408&amp;h=240&amp;yaw=35.250565&amp;pitch=0&amp;thumbfov=100", "link")</f>
        <v>link</v>
      </c>
    </row>
    <row r="1274" spans="1:4" x14ac:dyDescent="0.45">
      <c r="A1274" t="s">
        <v>1276</v>
      </c>
      <c r="B1274">
        <v>34.016445699999998</v>
      </c>
      <c r="C1274">
        <v>-118.4011543</v>
      </c>
      <c r="D1274" t="str">
        <f>HYPERLINK("https://streetviewpixels-pa.googleapis.com/v1/thumbnail?panoid=lUXhnKD6dWbHor_dtczZzQ&amp;cb_client=search.gws-prod.gps&amp;w=408&amp;h=240&amp;yaw=303.88657&amp;pitch=0&amp;thumbfov=100", "link")</f>
        <v>link</v>
      </c>
    </row>
    <row r="1275" spans="1:4" x14ac:dyDescent="0.45">
      <c r="A1275" t="s">
        <v>1277</v>
      </c>
      <c r="B1275">
        <v>34.023575399999999</v>
      </c>
      <c r="C1275">
        <v>-118.3965934</v>
      </c>
      <c r="D1275" t="str">
        <f>HYPERLINK("https://streetviewpixels-pa.googleapis.com/v1/thumbnail?panoid=yV5t0wfTkzdzvNG4kgScrA&amp;cb_client=search.gws-prod.gps&amp;w=408&amp;h=240&amp;yaw=227.53888&amp;pitch=0&amp;thumbfov=100", "link")</f>
        <v>link</v>
      </c>
    </row>
    <row r="1276" spans="1:4" x14ac:dyDescent="0.45">
      <c r="A1276" t="s">
        <v>1278</v>
      </c>
      <c r="B1276">
        <v>34.026569299999998</v>
      </c>
      <c r="C1276">
        <v>-118.3898114</v>
      </c>
      <c r="D1276" t="str">
        <f>HYPERLINK("https://streetviewpixels-pa.googleapis.com/v1/thumbnail?panoid=XfYeaZCZSdc9LHoaXzR9ew&amp;cb_client=search.gws-prod.gps&amp;w=408&amp;h=240&amp;yaw=95.49857&amp;pitch=0&amp;thumbfov=100", "link")</f>
        <v>link</v>
      </c>
    </row>
    <row r="1277" spans="1:4" x14ac:dyDescent="0.45">
      <c r="A1277" t="s">
        <v>1279</v>
      </c>
      <c r="B1277">
        <v>34.002255699999999</v>
      </c>
      <c r="C1277">
        <v>-118.38646</v>
      </c>
      <c r="D1277" t="s">
        <v>5</v>
      </c>
    </row>
    <row r="1278" spans="1:4" x14ac:dyDescent="0.45">
      <c r="A1278" t="s">
        <v>1280</v>
      </c>
      <c r="B1278">
        <v>34.002221400000003</v>
      </c>
      <c r="C1278">
        <v>-118.3869165</v>
      </c>
      <c r="D1278" t="s">
        <v>5</v>
      </c>
    </row>
    <row r="1279" spans="1:4" x14ac:dyDescent="0.45">
      <c r="A1279" t="s">
        <v>1281</v>
      </c>
      <c r="B1279">
        <v>34.0258216</v>
      </c>
      <c r="C1279">
        <v>-118.3927547</v>
      </c>
      <c r="D1279" t="str">
        <f>HYPERLINK("https://streetviewpixels-pa.googleapis.com/v1/thumbnail?panoid=pX-aOY-QrkWRs_YZtaFcjw&amp;cb_client=search.gws-prod.gps&amp;w=408&amp;h=240&amp;yaw=162.5719&amp;pitch=0&amp;thumbfov=100", "link")</f>
        <v>link</v>
      </c>
    </row>
    <row r="1280" spans="1:4" x14ac:dyDescent="0.45">
      <c r="A1280" t="s">
        <v>1282</v>
      </c>
      <c r="B1280">
        <v>34.014559300000002</v>
      </c>
      <c r="C1280">
        <v>-118.38664300000001</v>
      </c>
      <c r="D1280" t="str">
        <f>HYPERLINK("https://lh5.googleusercontent.com/p/AF1QipNKEoWHz_BkrG4loUnMuCsWhgzvdHt6v3a7MN8z=w408-h725-k-no", "link")</f>
        <v>link</v>
      </c>
    </row>
    <row r="1281" spans="1:4" x14ac:dyDescent="0.45">
      <c r="A1281" t="s">
        <v>1283</v>
      </c>
      <c r="B1281">
        <v>34.0080344</v>
      </c>
      <c r="C1281">
        <v>-118.3875099</v>
      </c>
      <c r="D1281" t="s">
        <v>5</v>
      </c>
    </row>
    <row r="1282" spans="1:4" x14ac:dyDescent="0.45">
      <c r="A1282" t="s">
        <v>1284</v>
      </c>
      <c r="B1282">
        <v>34.021963599999999</v>
      </c>
      <c r="C1282">
        <v>-118.3818953</v>
      </c>
      <c r="D1282" t="s">
        <v>5</v>
      </c>
    </row>
    <row r="1283" spans="1:4" x14ac:dyDescent="0.45">
      <c r="A1283" t="s">
        <v>1285</v>
      </c>
      <c r="B1283">
        <v>34.006165500000002</v>
      </c>
      <c r="C1283">
        <v>-118.3855471</v>
      </c>
      <c r="D1283" t="s">
        <v>5</v>
      </c>
    </row>
    <row r="1284" spans="1:4" x14ac:dyDescent="0.45">
      <c r="A1284" t="s">
        <v>1286</v>
      </c>
      <c r="B1284">
        <v>34.021895700000002</v>
      </c>
      <c r="C1284">
        <v>-118.3815242</v>
      </c>
      <c r="D1284" t="str">
        <f>HYPERLINK("https://streetviewpixels-pa.googleapis.com/v1/thumbnail?panoid=fVue0jtGrdmXeInH5ayKlA&amp;cb_client=search.gws-prod.gps&amp;w=408&amp;h=240&amp;yaw=108.56437&amp;pitch=0&amp;thumbfov=100", "link")</f>
        <v>link</v>
      </c>
    </row>
    <row r="1285" spans="1:4" x14ac:dyDescent="0.45">
      <c r="A1285" t="s">
        <v>1287</v>
      </c>
      <c r="B1285">
        <v>34.021921200000001</v>
      </c>
      <c r="C1285">
        <v>-118.3815019</v>
      </c>
      <c r="D1285" t="str">
        <f>HYPERLINK("https://streetviewpixels-pa.googleapis.com/v1/thumbnail?panoid=fVue0jtGrdmXeInH5ayKlA&amp;cb_client=search.gws-prod.gps&amp;w=408&amp;h=240&amp;yaw=108.56437&amp;pitch=0&amp;thumbfov=100", "link")</f>
        <v>link</v>
      </c>
    </row>
    <row r="1286" spans="1:4" x14ac:dyDescent="0.45">
      <c r="A1286" t="s">
        <v>1288</v>
      </c>
      <c r="B1286">
        <v>34.006028299999997</v>
      </c>
      <c r="C1286">
        <v>-118.3860948</v>
      </c>
      <c r="D1286" t="s">
        <v>5</v>
      </c>
    </row>
    <row r="1287" spans="1:4" x14ac:dyDescent="0.45">
      <c r="A1287" t="s">
        <v>1289</v>
      </c>
      <c r="B1287">
        <v>34.005862399999998</v>
      </c>
      <c r="C1287">
        <v>-118.387236</v>
      </c>
      <c r="D1287" t="s">
        <v>5</v>
      </c>
    </row>
    <row r="1288" spans="1:4" x14ac:dyDescent="0.45">
      <c r="A1288" t="s">
        <v>1290</v>
      </c>
      <c r="B1288">
        <v>34.005845200000003</v>
      </c>
      <c r="C1288">
        <v>-118.3881033</v>
      </c>
      <c r="D1288" t="s">
        <v>5</v>
      </c>
    </row>
    <row r="1289" spans="1:4" x14ac:dyDescent="0.45">
      <c r="A1289" t="s">
        <v>1291</v>
      </c>
      <c r="B1289">
        <v>34.022750500000001</v>
      </c>
      <c r="C1289">
        <v>-118.3905682</v>
      </c>
      <c r="D1289" t="s">
        <v>5</v>
      </c>
    </row>
    <row r="1290" spans="1:4" x14ac:dyDescent="0.45">
      <c r="A1290" t="s">
        <v>1292</v>
      </c>
      <c r="B1290">
        <v>34.005776900000001</v>
      </c>
      <c r="C1290">
        <v>-118.38518190000001</v>
      </c>
      <c r="D1290" t="s">
        <v>5</v>
      </c>
    </row>
    <row r="1291" spans="1:4" x14ac:dyDescent="0.45">
      <c r="A1291" t="s">
        <v>1293</v>
      </c>
      <c r="B1291">
        <v>34.007345100000002</v>
      </c>
      <c r="C1291">
        <v>-118.39360600000001</v>
      </c>
      <c r="D1291" t="str">
        <f>HYPERLINK("https://streetviewpixels-pa.googleapis.com/v1/thumbnail?panoid=zqsWiPlOgFWNHrsrfHyoFw&amp;cb_client=search.gws-prod.gps&amp;w=408&amp;h=240&amp;yaw=320.68155&amp;pitch=0&amp;thumbfov=100", "link")</f>
        <v>link</v>
      </c>
    </row>
    <row r="1292" spans="1:4" x14ac:dyDescent="0.45">
      <c r="A1292" t="s">
        <v>1294</v>
      </c>
      <c r="B1292">
        <v>34.0052108</v>
      </c>
      <c r="C1292">
        <v>-118.38760120000001</v>
      </c>
      <c r="D1292" t="s">
        <v>5</v>
      </c>
    </row>
    <row r="1293" spans="1:4" x14ac:dyDescent="0.45">
      <c r="A1293" t="s">
        <v>1295</v>
      </c>
      <c r="B1293">
        <v>34.022601199999997</v>
      </c>
      <c r="C1293">
        <v>-118.39339819999999</v>
      </c>
      <c r="D1293" t="s">
        <v>5</v>
      </c>
    </row>
    <row r="1294" spans="1:4" x14ac:dyDescent="0.45">
      <c r="A1294" t="s">
        <v>1296</v>
      </c>
      <c r="B1294">
        <v>34.021876300000002</v>
      </c>
      <c r="C1294">
        <v>-118.39477460000001</v>
      </c>
      <c r="D1294" t="str">
        <f>HYPERLINK("https://streetviewpixels-pa.googleapis.com/v1/thumbnail?panoid=Z3-PLI-HjdapYBYVx-y2ew&amp;cb_client=search.gws-prod.gps&amp;w=408&amp;h=240&amp;yaw=51.104195&amp;pitch=0&amp;thumbfov=100", "link")</f>
        <v>link</v>
      </c>
    </row>
    <row r="1295" spans="1:4" x14ac:dyDescent="0.45">
      <c r="A1295" t="s">
        <v>1297</v>
      </c>
      <c r="B1295">
        <v>34.021248299999897</v>
      </c>
      <c r="C1295">
        <v>-118.3955342</v>
      </c>
      <c r="D1295" t="str">
        <f>HYPERLINK("https://streetviewpixels-pa.googleapis.com/v1/thumbnail?panoid=AaBIJ2HDZKxrbpbSc5tf0Q&amp;cb_client=search.gws-prod.gps&amp;w=408&amp;h=240&amp;yaw=87.74396&amp;pitch=0&amp;thumbfov=100", "link")</f>
        <v>link</v>
      </c>
    </row>
    <row r="1296" spans="1:4" x14ac:dyDescent="0.45">
      <c r="A1296" t="s">
        <v>1298</v>
      </c>
      <c r="B1296">
        <v>34.021566200000002</v>
      </c>
      <c r="C1296">
        <v>-118.39545219999999</v>
      </c>
      <c r="D1296" t="str">
        <f>HYPERLINK("https://streetviewpixels-pa.googleapis.com/v1/thumbnail?panoid=AaBIJ2HDZKxrbpbSc5tf0Q&amp;cb_client=search.gws-prod.gps&amp;w=408&amp;h=240&amp;yaw=87.74396&amp;pitch=0&amp;thumbfov=100", "link")</f>
        <v>link</v>
      </c>
    </row>
    <row r="1297" spans="1:4" x14ac:dyDescent="0.45">
      <c r="A1297" t="s">
        <v>1299</v>
      </c>
      <c r="B1297">
        <v>34.004416200000001</v>
      </c>
      <c r="C1297">
        <v>-118.38837719999999</v>
      </c>
      <c r="D1297" t="s">
        <v>5</v>
      </c>
    </row>
    <row r="1298" spans="1:4" x14ac:dyDescent="0.45">
      <c r="A1298" t="s">
        <v>1300</v>
      </c>
      <c r="B1298">
        <v>34.022862199999999</v>
      </c>
      <c r="C1298">
        <v>-118.37897289999999</v>
      </c>
      <c r="D1298" t="str">
        <f>HYPERLINK("https://streetviewpixels-pa.googleapis.com/v1/thumbnail?panoid=CeXYbuwV1g_fFenF6OX3Zw&amp;cb_client=search.gws-prod.gps&amp;w=408&amp;h=240&amp;yaw=292.87488&amp;pitch=0&amp;thumbfov=100", "link")</f>
        <v>link</v>
      </c>
    </row>
    <row r="1299" spans="1:4" x14ac:dyDescent="0.45">
      <c r="A1299" t="s">
        <v>1301</v>
      </c>
      <c r="B1299">
        <v>34.023553199999903</v>
      </c>
      <c r="C1299">
        <v>-118.3933275</v>
      </c>
      <c r="D1299" t="str">
        <f>HYPERLINK("https://streetviewpixels-pa.googleapis.com/v1/thumbnail?panoid=nW7ZVm6rFNWyU-HKCOKRHA&amp;cb_client=search.gws-prod.gps&amp;w=408&amp;h=240&amp;yaw=348.56708&amp;pitch=0&amp;thumbfov=100", "link")</f>
        <v>link</v>
      </c>
    </row>
    <row r="1300" spans="1:4" x14ac:dyDescent="0.45">
      <c r="A1300" t="s">
        <v>1302</v>
      </c>
      <c r="B1300">
        <v>34.025499000000003</v>
      </c>
      <c r="C1300">
        <v>-118.39395469999999</v>
      </c>
      <c r="D1300" t="str">
        <f>HYPERLINK("https://lh5.googleusercontent.com/p/AF1QipNrwaVXXcQp7tjatGqpiy1f6yq8df5UXco9-4w2=w426-h240-k-no", "link")</f>
        <v>link</v>
      </c>
    </row>
    <row r="1301" spans="1:4" x14ac:dyDescent="0.45">
      <c r="A1301" t="s">
        <v>1303</v>
      </c>
      <c r="B1301">
        <v>34.0248317</v>
      </c>
      <c r="C1301">
        <v>-118.40048299999999</v>
      </c>
      <c r="D1301" t="str">
        <f>HYPERLINK("https://streetviewpixels-pa.googleapis.com/v1/thumbnail?panoid=KKVDOnNOWxUMlv2jVKz3kw&amp;cb_client=search.gws-prod.gps&amp;w=408&amp;h=240&amp;yaw=51.644848&amp;pitch=0&amp;thumbfov=100", "link")</f>
        <v>link</v>
      </c>
    </row>
    <row r="1302" spans="1:4" x14ac:dyDescent="0.45">
      <c r="A1302" t="s">
        <v>1304</v>
      </c>
      <c r="B1302">
        <v>34.0225413</v>
      </c>
      <c r="C1302">
        <v>-118.4011733</v>
      </c>
      <c r="D1302" t="str">
        <f>HYPERLINK("https://streetviewpixels-pa.googleapis.com/v1/thumbnail?panoid=f1jEQvfAJmOBOYBZmmidyw&amp;cb_client=search.gws-prod.gps&amp;w=408&amp;h=240&amp;yaw=348.4772&amp;pitch=0&amp;thumbfov=100", "link")</f>
        <v>link</v>
      </c>
    </row>
    <row r="1303" spans="1:4" x14ac:dyDescent="0.45">
      <c r="A1303" t="s">
        <v>1305</v>
      </c>
      <c r="B1303">
        <v>34.021036700000003</v>
      </c>
      <c r="C1303">
        <v>-118.4004125</v>
      </c>
      <c r="D1303" t="str">
        <f>HYPERLINK("https://streetviewpixels-pa.googleapis.com/v1/thumbnail?panoid=3SRck9keQCaCD9ht7C_LNQ&amp;cb_client=search.gws-prod.gps&amp;w=408&amp;h=240&amp;yaw=283.33426&amp;pitch=0&amp;thumbfov=100", "link")</f>
        <v>link</v>
      </c>
    </row>
    <row r="1304" spans="1:4" x14ac:dyDescent="0.45">
      <c r="A1304" t="s">
        <v>1306</v>
      </c>
      <c r="B1304">
        <v>34.027982799999997</v>
      </c>
      <c r="C1304">
        <v>-118.38990339999999</v>
      </c>
      <c r="D1304" t="s">
        <v>5</v>
      </c>
    </row>
    <row r="1305" spans="1:4" x14ac:dyDescent="0.45">
      <c r="A1305" t="s">
        <v>1307</v>
      </c>
      <c r="B1305">
        <v>34.027941999999904</v>
      </c>
      <c r="C1305">
        <v>-118.3898457</v>
      </c>
      <c r="D1305" t="s">
        <v>5</v>
      </c>
    </row>
    <row r="1306" spans="1:4" x14ac:dyDescent="0.45">
      <c r="A1306" t="s">
        <v>1308</v>
      </c>
      <c r="B1306">
        <v>34.026902700000001</v>
      </c>
      <c r="C1306">
        <v>-118.3883002</v>
      </c>
      <c r="D1306" t="str">
        <f>HYPERLINK("https://streetviewpixels-pa.googleapis.com/v1/thumbnail?panoid=2HL-SE5SUgkXX2vjEiEm4w&amp;cb_client=search.gws-prod.gps&amp;w=408&amp;h=240&amp;yaw=205.86806&amp;pitch=0&amp;thumbfov=100", "link")</f>
        <v>link</v>
      </c>
    </row>
    <row r="1307" spans="1:4" x14ac:dyDescent="0.45">
      <c r="A1307" t="s">
        <v>1309</v>
      </c>
      <c r="B1307">
        <v>34.027028999999999</v>
      </c>
      <c r="C1307">
        <v>-118.3881547</v>
      </c>
      <c r="D1307" t="str">
        <f>HYPERLINK("https://streetviewpixels-pa.googleapis.com/v1/thumbnail?panoid=2HL-SE5SUgkXX2vjEiEm4w&amp;cb_client=search.gws-prod.gps&amp;w=408&amp;h=240&amp;yaw=205.86806&amp;pitch=0&amp;thumbfov=100", "link")</f>
        <v>link</v>
      </c>
    </row>
    <row r="1308" spans="1:4" x14ac:dyDescent="0.45">
      <c r="A1308" t="s">
        <v>1310</v>
      </c>
      <c r="B1308">
        <v>34.029225500000003</v>
      </c>
      <c r="C1308">
        <v>-118.3891531</v>
      </c>
      <c r="D1308" t="str">
        <f>HYPERLINK("https://streetviewpixels-pa.googleapis.com/v1/thumbnail?panoid=jy76jvw1VgBc92bbnHCt5A&amp;cb_client=search.gws-prod.gps&amp;w=408&amp;h=240&amp;yaw=230.09013&amp;pitch=0&amp;thumbfov=100", "link")</f>
        <v>link</v>
      </c>
    </row>
    <row r="1309" spans="1:4" x14ac:dyDescent="0.45">
      <c r="A1309" t="s">
        <v>1311</v>
      </c>
      <c r="B1309">
        <v>34.023840100000001</v>
      </c>
      <c r="C1309">
        <v>-118.3969632</v>
      </c>
      <c r="D1309" t="str">
        <f>HYPERLINK("https://streetviewpixels-pa.googleapis.com/v1/thumbnail?panoid=klAjCGz0gCGQ9-cZmDRtng&amp;cb_client=search.gws-prod.gps&amp;w=408&amp;h=240&amp;yaw=231.0596&amp;pitch=0&amp;thumbfov=100", "link")</f>
        <v>link</v>
      </c>
    </row>
    <row r="1310" spans="1:4" x14ac:dyDescent="0.45">
      <c r="A1310" t="s">
        <v>1312</v>
      </c>
      <c r="B1310">
        <v>34.023390300000003</v>
      </c>
      <c r="C1310">
        <v>-118.3978616</v>
      </c>
      <c r="D1310" t="str">
        <f>HYPERLINK("https://streetviewpixels-pa.googleapis.com/v1/thumbnail?panoid=wlgP0qcEmR3Qb_0LCRp7dw&amp;cb_client=search.gws-prod.gps&amp;w=408&amp;h=240&amp;yaw=149.4706&amp;pitch=0&amp;thumbfov=100", "link")</f>
        <v>link</v>
      </c>
    </row>
    <row r="1311" spans="1:4" x14ac:dyDescent="0.45">
      <c r="A1311" t="s">
        <v>1313</v>
      </c>
      <c r="B1311">
        <v>34.023340999999903</v>
      </c>
      <c r="C1311">
        <v>-118.3982312</v>
      </c>
      <c r="D1311" t="str">
        <f>HYPERLINK("https://streetviewpixels-pa.googleapis.com/v1/thumbnail?panoid=y9CItVlBY7cVMKzxP1ag8g&amp;cb_client=search.gws-prod.gps&amp;w=408&amp;h=240&amp;yaw=117.123505&amp;pitch=0&amp;thumbfov=100", "link")</f>
        <v>link</v>
      </c>
    </row>
    <row r="1312" spans="1:4" x14ac:dyDescent="0.45">
      <c r="A1312" t="s">
        <v>1314</v>
      </c>
      <c r="B1312">
        <v>34.023166699999997</v>
      </c>
      <c r="C1312">
        <v>-118.3982827</v>
      </c>
      <c r="D1312" t="s">
        <v>5</v>
      </c>
    </row>
    <row r="1313" spans="1:4" x14ac:dyDescent="0.45">
      <c r="A1313" t="s">
        <v>1315</v>
      </c>
      <c r="B1313">
        <v>34.023165300000002</v>
      </c>
      <c r="C1313">
        <v>-118.39828300000001</v>
      </c>
      <c r="D1313" t="s">
        <v>5</v>
      </c>
    </row>
    <row r="1314" spans="1:4" x14ac:dyDescent="0.45">
      <c r="A1314" t="s">
        <v>1316</v>
      </c>
      <c r="B1314">
        <v>34.025613200000002</v>
      </c>
      <c r="C1314">
        <v>-118.3956597</v>
      </c>
      <c r="D1314" t="str">
        <f>HYPERLINK("https://streetviewpixels-pa.googleapis.com/v1/thumbnail?panoid=Z07SNviJH0BjAc5yuvVBmA&amp;cb_client=search.gws-prod.gps&amp;w=408&amp;h=240&amp;yaw=144.42815&amp;pitch=0&amp;thumbfov=100", "link")</f>
        <v>link</v>
      </c>
    </row>
    <row r="1315" spans="1:4" x14ac:dyDescent="0.45">
      <c r="A1315" t="s">
        <v>1317</v>
      </c>
      <c r="B1315">
        <v>34.025608300000002</v>
      </c>
      <c r="C1315">
        <v>-118.39536200000001</v>
      </c>
      <c r="D1315" t="str">
        <f>HYPERLINK("https://streetviewpixels-pa.googleapis.com/v1/thumbnail?panoid=IyYMjEKut4D77TgObv88-A&amp;cb_client=search.gws-prod.gps&amp;w=408&amp;h=240&amp;yaw=153.93483&amp;pitch=0&amp;thumbfov=100", "link")</f>
        <v>link</v>
      </c>
    </row>
    <row r="1316" spans="1:4" x14ac:dyDescent="0.45">
      <c r="A1316" t="s">
        <v>1318</v>
      </c>
      <c r="B1316">
        <v>34.022385300000003</v>
      </c>
      <c r="C1316">
        <v>-118.3982781</v>
      </c>
      <c r="D1316" t="str">
        <f>HYPERLINK("https://streetviewpixels-pa.googleapis.com/v1/thumbnail?panoid=3dolC1iPJk-rRUb8bBYL-g&amp;cb_client=search.gws-prod.gps&amp;w=408&amp;h=240&amp;yaw=194.69043&amp;pitch=0&amp;thumbfov=100", "link")</f>
        <v>link</v>
      </c>
    </row>
    <row r="1317" spans="1:4" x14ac:dyDescent="0.45">
      <c r="A1317" t="s">
        <v>1319</v>
      </c>
      <c r="B1317">
        <v>34.032651100000002</v>
      </c>
      <c r="C1317">
        <v>-118.38984600000001</v>
      </c>
      <c r="D1317" t="str">
        <f>HYPERLINK("https://streetviewpixels-pa.googleapis.com/v1/thumbnail?panoid=eG4ts29asVbmTAfdvj5h3A&amp;cb_client=search.gws-prod.gps&amp;w=408&amp;h=240&amp;yaw=49.255035&amp;pitch=0&amp;thumbfov=100", "link")</f>
        <v>link</v>
      </c>
    </row>
    <row r="1318" spans="1:4" x14ac:dyDescent="0.45">
      <c r="A1318" t="s">
        <v>1320</v>
      </c>
      <c r="B1318">
        <v>34.030688300000001</v>
      </c>
      <c r="C1318">
        <v>-118.38128709999999</v>
      </c>
      <c r="D1318" t="str">
        <f>HYPERLINK("https://streetviewpixels-pa.googleapis.com/v1/thumbnail?panoid=XZ7AC2H8buMarQy_eEVRtg&amp;cb_client=search.gws-prod.gps&amp;w=408&amp;h=240&amp;yaw=355.29477&amp;pitch=0&amp;thumbfov=100", "link")</f>
        <v>link</v>
      </c>
    </row>
    <row r="1319" spans="1:4" x14ac:dyDescent="0.45">
      <c r="A1319" t="s">
        <v>1321</v>
      </c>
      <c r="B1319">
        <v>34.028191399999997</v>
      </c>
      <c r="C1319">
        <v>-118.388012</v>
      </c>
      <c r="D1319" t="str">
        <f>HYPERLINK("https://streetviewpixels-pa.googleapis.com/v1/thumbnail?panoid=8v5H_CDJCysINrU0jThLHw&amp;cb_client=search.gws-prod.gps&amp;w=408&amp;h=240&amp;yaw=220.3035&amp;pitch=0&amp;thumbfov=100", "link")</f>
        <v>link</v>
      </c>
    </row>
    <row r="1320" spans="1:4" x14ac:dyDescent="0.45">
      <c r="A1320" t="s">
        <v>1322</v>
      </c>
      <c r="B1320">
        <v>34.028141300000001</v>
      </c>
      <c r="C1320">
        <v>-118.3851038</v>
      </c>
      <c r="D1320" t="str">
        <f>HYPERLINK("https://streetviewpixels-pa.googleapis.com/v1/thumbnail?panoid=leSXtGnK7YocyaUbIYF1dw&amp;cb_client=search.gws-prod.gps&amp;w=408&amp;h=240&amp;yaw=145.57535&amp;pitch=0&amp;thumbfov=100", "link")</f>
        <v>link</v>
      </c>
    </row>
    <row r="1321" spans="1:4" x14ac:dyDescent="0.45">
      <c r="A1321" t="s">
        <v>1323</v>
      </c>
      <c r="B1321">
        <v>34.030152399999999</v>
      </c>
      <c r="C1321">
        <v>-118.38976099999999</v>
      </c>
      <c r="D1321" t="str">
        <f>HYPERLINK("https://streetviewpixels-pa.googleapis.com/v1/thumbnail?panoid=aE-vzB0u2aoCeNBRuVndpg&amp;cb_client=search.gws-prod.gps&amp;w=408&amp;h=240&amp;yaw=226.81386&amp;pitch=0&amp;thumbfov=100", "link")</f>
        <v>link</v>
      </c>
    </row>
    <row r="1322" spans="1:4" x14ac:dyDescent="0.45">
      <c r="A1322" t="s">
        <v>1324</v>
      </c>
      <c r="B1322">
        <v>34.031188399999998</v>
      </c>
      <c r="C1322">
        <v>-118.3857508</v>
      </c>
      <c r="D1322" t="str">
        <f>HYPERLINK("https://streetviewpixels-pa.googleapis.com/v1/thumbnail?panoid=wt69bl45m1o-nhIfy0rbfg&amp;cb_client=search.gws-prod.gps&amp;w=408&amp;h=240&amp;yaw=109.62576&amp;pitch=0&amp;thumbfov=100", "link")</f>
        <v>link</v>
      </c>
    </row>
    <row r="1323" spans="1:4" x14ac:dyDescent="0.45">
      <c r="A1323" t="s">
        <v>1325</v>
      </c>
      <c r="B1323">
        <v>34.031718499999997</v>
      </c>
      <c r="C1323">
        <v>-118.38509639999999</v>
      </c>
      <c r="D1323" t="str">
        <f>HYPERLINK("https://streetviewpixels-pa.googleapis.com/v1/thumbnail?panoid=YkjsrqrGgv9UD8v0uoZ6yA&amp;cb_client=search.gws-prod.gps&amp;w=408&amp;h=240&amp;yaw=328.66284&amp;pitch=0&amp;thumbfov=100", "link")</f>
        <v>link</v>
      </c>
    </row>
    <row r="1324" spans="1:4" x14ac:dyDescent="0.45">
      <c r="A1324" t="s">
        <v>1326</v>
      </c>
      <c r="B1324">
        <v>34.030735800000002</v>
      </c>
      <c r="C1324">
        <v>-118.3742752</v>
      </c>
      <c r="D1324" t="str">
        <f>HYPERLINK("https://streetviewpixels-pa.googleapis.com/v1/thumbnail?panoid=0ujXHomJNBdCKY9VdrZK_w&amp;cb_client=search.gws-prod.gps&amp;w=408&amp;h=240&amp;yaw=181.34543&amp;pitch=0&amp;thumbfov=100", "link")</f>
        <v>link</v>
      </c>
    </row>
    <row r="1325" spans="1:4" x14ac:dyDescent="0.45">
      <c r="A1325" t="s">
        <v>1327</v>
      </c>
      <c r="B1325">
        <v>34.029082899999999</v>
      </c>
      <c r="C1325">
        <v>-118.3716014</v>
      </c>
      <c r="D1325" t="str">
        <f>HYPERLINK("https://streetviewpixels-pa.googleapis.com/v1/thumbnail?panoid=CbLFd3bJR5Bq3svObD0LIQ&amp;cb_client=search.gws-prod.gps&amp;w=408&amp;h=240&amp;yaw=280.48322&amp;pitch=0&amp;thumbfov=100", "link")</f>
        <v>link</v>
      </c>
    </row>
    <row r="1326" spans="1:4" x14ac:dyDescent="0.45">
      <c r="A1326" t="s">
        <v>1328</v>
      </c>
      <c r="B1326">
        <v>34.032088100000003</v>
      </c>
      <c r="C1326">
        <v>-118.3743405</v>
      </c>
      <c r="D1326" t="str">
        <f>HYPERLINK("https://streetviewpixels-pa.googleapis.com/v1/thumbnail?panoid=c-zgIYmUP7eBE3DvCCdrFg&amp;cb_client=search.gws-prod.gps&amp;w=408&amp;h=240&amp;yaw=352.37622&amp;pitch=0&amp;thumbfov=100", "link")</f>
        <v>link</v>
      </c>
    </row>
    <row r="1327" spans="1:4" x14ac:dyDescent="0.45">
      <c r="A1327" t="s">
        <v>1329</v>
      </c>
      <c r="B1327">
        <v>34.032982699999998</v>
      </c>
      <c r="C1327">
        <v>-118.37623480000001</v>
      </c>
      <c r="D1327" t="s">
        <v>5</v>
      </c>
    </row>
    <row r="1328" spans="1:4" x14ac:dyDescent="0.45">
      <c r="A1328" t="s">
        <v>1330</v>
      </c>
      <c r="B1328">
        <v>34.028169200000001</v>
      </c>
      <c r="C1328">
        <v>-118.376621</v>
      </c>
      <c r="D1328" t="str">
        <f>HYPERLINK("https://streetviewpixels-pa.googleapis.com/v1/thumbnail?panoid=tcMnC8WzDhuI5ObjY_jVEw&amp;cb_client=search.gws-prod.gps&amp;w=408&amp;h=240&amp;yaw=50.158604&amp;pitch=0&amp;thumbfov=100", "link")</f>
        <v>link</v>
      </c>
    </row>
    <row r="1329" spans="1:4" x14ac:dyDescent="0.45">
      <c r="A1329" t="s">
        <v>1331</v>
      </c>
      <c r="B1329">
        <v>34.024088900000002</v>
      </c>
      <c r="C1329">
        <v>-118.4109933</v>
      </c>
      <c r="D1329" t="s">
        <v>5</v>
      </c>
    </row>
    <row r="1330" spans="1:4" x14ac:dyDescent="0.45">
      <c r="A1330" t="s">
        <v>1332</v>
      </c>
      <c r="B1330">
        <v>34.024674399999903</v>
      </c>
      <c r="C1330">
        <v>-118.41128999999999</v>
      </c>
      <c r="D1330" t="s">
        <v>5</v>
      </c>
    </row>
    <row r="1331" spans="1:4" x14ac:dyDescent="0.45">
      <c r="A1331" t="s">
        <v>1333</v>
      </c>
      <c r="B1331">
        <v>34.0257322</v>
      </c>
      <c r="C1331">
        <v>-118.41196290000001</v>
      </c>
      <c r="D1331" t="str">
        <f>HYPERLINK("https://streetviewpixels-pa.googleapis.com/v1/thumbnail?panoid=KmmmLAtI5go15n6xwWdibw&amp;cb_client=search.gws-prod.gps&amp;w=408&amp;h=240&amp;yaw=76.45692&amp;pitch=0&amp;thumbfov=100", "link")</f>
        <v>link</v>
      </c>
    </row>
    <row r="1332" spans="1:4" x14ac:dyDescent="0.45">
      <c r="A1332" t="s">
        <v>1334</v>
      </c>
      <c r="B1332">
        <v>34.026022099999999</v>
      </c>
      <c r="C1332">
        <v>-118.412271</v>
      </c>
      <c r="D1332" t="str">
        <f>HYPERLINK("https://streetviewpixels-pa.googleapis.com/v1/thumbnail?panoid=RHgNv4hssp3Pb3kydaSOZA&amp;cb_client=search.gws-prod.gps&amp;w=408&amp;h=240&amp;yaw=117.70865&amp;pitch=0&amp;thumbfov=100", "link")</f>
        <v>link</v>
      </c>
    </row>
    <row r="1333" spans="1:4" x14ac:dyDescent="0.45">
      <c r="A1333" t="s">
        <v>1335</v>
      </c>
      <c r="B1333">
        <v>34.015053000000002</v>
      </c>
      <c r="C1333">
        <v>-118.40806259999999</v>
      </c>
      <c r="D1333" t="str">
        <f>HYPERLINK("https://streetviewpixels-pa.googleapis.com/v1/thumbnail?panoid=YclRBzykjbFc5hy5yQWAFA&amp;cb_client=search.gws-prod.gps&amp;w=408&amp;h=240&amp;yaw=311.1443&amp;pitch=0&amp;thumbfov=100", "link")</f>
        <v>link</v>
      </c>
    </row>
    <row r="1334" spans="1:4" x14ac:dyDescent="0.45">
      <c r="A1334" t="s">
        <v>1336</v>
      </c>
      <c r="B1334">
        <v>34.014336499999999</v>
      </c>
      <c r="C1334">
        <v>-118.4086652</v>
      </c>
      <c r="D1334" t="str">
        <f>HYPERLINK("https://streetviewpixels-pa.googleapis.com/v1/thumbnail?panoid=BigumgzIP33ZtJjqf1_5dw&amp;cb_client=search.gws-prod.gps&amp;w=408&amp;h=240&amp;yaw=299.25385&amp;pitch=0&amp;thumbfov=100", "link")</f>
        <v>link</v>
      </c>
    </row>
    <row r="1335" spans="1:4" x14ac:dyDescent="0.45">
      <c r="A1335" t="s">
        <v>1337</v>
      </c>
      <c r="B1335">
        <v>34.016075100000002</v>
      </c>
      <c r="C1335">
        <v>-118.4071926</v>
      </c>
      <c r="D1335" t="str">
        <f>HYPERLINK("https://streetviewpixels-pa.googleapis.com/v1/thumbnail?panoid=3H9OSdmMQ1HY0zseKoTuZg&amp;cb_client=search.gws-prod.gps&amp;w=408&amp;h=240&amp;yaw=144.87411&amp;pitch=0&amp;thumbfov=100", "link")</f>
        <v>link</v>
      </c>
    </row>
    <row r="1336" spans="1:4" x14ac:dyDescent="0.45">
      <c r="A1336" t="s">
        <v>1338</v>
      </c>
      <c r="B1336">
        <v>34.013765800000002</v>
      </c>
      <c r="C1336">
        <v>-118.4091866</v>
      </c>
      <c r="D1336" t="str">
        <f>HYPERLINK("https://streetviewpixels-pa.googleapis.com/v1/thumbnail?panoid=xBmN80V-Hx1fOWrOmpjjHQ&amp;cb_client=search.gws-prod.gps&amp;w=408&amp;h=240&amp;yaw=301.1115&amp;pitch=0&amp;thumbfov=100", "link")</f>
        <v>link</v>
      </c>
    </row>
    <row r="1337" spans="1:4" x14ac:dyDescent="0.45">
      <c r="A1337" t="s">
        <v>1339</v>
      </c>
      <c r="B1337">
        <v>34.0166805</v>
      </c>
      <c r="C1337">
        <v>-118.40781699999999</v>
      </c>
      <c r="D1337" t="str">
        <f>HYPERLINK("https://streetviewpixels-pa.googleapis.com/v1/thumbnail?panoid=kdPDzoy7jtNK6N4P7yAP_Q&amp;cb_client=search.gws-prod.gps&amp;w=408&amp;h=240&amp;yaw=288.90262&amp;pitch=0&amp;thumbfov=100", "link")</f>
        <v>link</v>
      </c>
    </row>
    <row r="1338" spans="1:4" x14ac:dyDescent="0.45">
      <c r="A1338" t="s">
        <v>1340</v>
      </c>
      <c r="B1338">
        <v>34.017519900000003</v>
      </c>
      <c r="C1338">
        <v>-118.4065322</v>
      </c>
      <c r="D1338" t="str">
        <f>HYPERLINK("https://streetviewpixels-pa.googleapis.com/v1/thumbnail?panoid=M-Cy6xsJXzX1HpdSBgfOWQ&amp;cb_client=search.gws-prod.gps&amp;w=408&amp;h=240&amp;yaw=20.394545&amp;pitch=0&amp;thumbfov=100", "link")</f>
        <v>link</v>
      </c>
    </row>
    <row r="1339" spans="1:4" x14ac:dyDescent="0.45">
      <c r="A1339" t="s">
        <v>1341</v>
      </c>
      <c r="B1339">
        <v>34.017318500000002</v>
      </c>
      <c r="C1339">
        <v>-118.4100344</v>
      </c>
      <c r="D1339" t="str">
        <f>HYPERLINK("https://streetviewpixels-pa.googleapis.com/v1/thumbnail?panoid=qPAYoWPgO6MSYc3tfoKKCg&amp;cb_client=search.gws-prod.gps&amp;w=408&amp;h=240&amp;yaw=237.46504&amp;pitch=0&amp;thumbfov=100", "link")</f>
        <v>link</v>
      </c>
    </row>
    <row r="1340" spans="1:4" x14ac:dyDescent="0.45">
      <c r="A1340" t="s">
        <v>1342</v>
      </c>
      <c r="B1340">
        <v>34.017626999999997</v>
      </c>
      <c r="C1340">
        <v>-118.4094367</v>
      </c>
      <c r="D1340" t="str">
        <f>HYPERLINK("https://streetviewpixels-pa.googleapis.com/v1/thumbnail?panoid=d86CjouPt0Rcb834hwTgUQ&amp;cb_client=search.gws-prod.gps&amp;w=408&amp;h=240&amp;yaw=24.258495&amp;pitch=0&amp;thumbfov=100", "link")</f>
        <v>link</v>
      </c>
    </row>
    <row r="1341" spans="1:4" x14ac:dyDescent="0.45">
      <c r="A1341" t="s">
        <v>1343</v>
      </c>
      <c r="B1341">
        <v>34.017443099999902</v>
      </c>
      <c r="C1341">
        <v>-118.4103248</v>
      </c>
      <c r="D1341" t="str">
        <f>HYPERLINK("https://streetviewpixels-pa.googleapis.com/v1/thumbnail?panoid=RtWF-8obx4EWvHOkowQr-w&amp;cb_client=search.gws-prod.gps&amp;w=408&amp;h=240&amp;yaw=230.48517&amp;pitch=0&amp;thumbfov=100", "link")</f>
        <v>link</v>
      </c>
    </row>
    <row r="1342" spans="1:4" x14ac:dyDescent="0.45">
      <c r="A1342" t="s">
        <v>1344</v>
      </c>
      <c r="B1342">
        <v>34.015411999999898</v>
      </c>
      <c r="C1342">
        <v>-118.40319479999999</v>
      </c>
      <c r="D1342" t="s">
        <v>5</v>
      </c>
    </row>
    <row r="1343" spans="1:4" x14ac:dyDescent="0.45">
      <c r="A1343" t="s">
        <v>1345</v>
      </c>
      <c r="B1343">
        <v>34.019257000000003</v>
      </c>
      <c r="C1343">
        <v>-118.40523829999999</v>
      </c>
      <c r="D1343" t="str">
        <f>HYPERLINK("https://streetviewpixels-pa.googleapis.com/v1/thumbnail?panoid=M9dRPdv4luTfZ42as6-Aig&amp;cb_client=search.gws-prod.gps&amp;w=408&amp;h=240&amp;yaw=154.6536&amp;pitch=0&amp;thumbfov=100", "link")</f>
        <v>link</v>
      </c>
    </row>
    <row r="1344" spans="1:4" x14ac:dyDescent="0.45">
      <c r="A1344" t="s">
        <v>1346</v>
      </c>
      <c r="B1344">
        <v>34.0112053</v>
      </c>
      <c r="C1344">
        <v>-118.4150762</v>
      </c>
      <c r="D1344" t="str">
        <f>HYPERLINK("https://streetviewpixels-pa.googleapis.com/v1/thumbnail?panoid=ZGE6Eci-O-h_q9CtbGAejA&amp;cb_client=search.gws-prod.gps&amp;w=408&amp;h=240&amp;yaw=69.356895&amp;pitch=0&amp;thumbfov=100", "link")</f>
        <v>link</v>
      </c>
    </row>
    <row r="1345" spans="1:4" x14ac:dyDescent="0.45">
      <c r="A1345" t="s">
        <v>1347</v>
      </c>
      <c r="B1345">
        <v>34.0091544</v>
      </c>
      <c r="C1345">
        <v>-118.4126157</v>
      </c>
      <c r="D1345" t="str">
        <f>HYPERLINK("https://streetviewpixels-pa.googleapis.com/v1/thumbnail?panoid=PFhnf93MVw8FzGTUWGYhLA&amp;cb_client=search.gws-prod.gps&amp;w=408&amp;h=240&amp;yaw=258.8936&amp;pitch=0&amp;thumbfov=100", "link")</f>
        <v>link</v>
      </c>
    </row>
    <row r="1346" spans="1:4" x14ac:dyDescent="0.45">
      <c r="A1346" t="s">
        <v>1348</v>
      </c>
      <c r="B1346">
        <v>34.008828999999999</v>
      </c>
      <c r="C1346">
        <v>-118.4131799</v>
      </c>
      <c r="D1346" t="str">
        <f>HYPERLINK("https://streetviewpixels-pa.googleapis.com/v1/thumbnail?panoid=zetOIsZ8v1ediXIsAnCdHw&amp;cb_client=search.gws-prod.gps&amp;w=408&amp;h=240&amp;yaw=126.04986&amp;pitch=0&amp;thumbfov=100", "link")</f>
        <v>link</v>
      </c>
    </row>
    <row r="1347" spans="1:4" x14ac:dyDescent="0.45">
      <c r="A1347" t="s">
        <v>1349</v>
      </c>
      <c r="B1347">
        <v>34.009122699999999</v>
      </c>
      <c r="C1347">
        <v>-118.41461080000001</v>
      </c>
      <c r="D1347" t="str">
        <f>HYPERLINK("https://streetviewpixels-pa.googleapis.com/v1/thumbnail?panoid=TmTURrghIqjdhDvMUNe_Rg&amp;cb_client=search.gws-prod.gps&amp;w=408&amp;h=240&amp;yaw=325.04083&amp;pitch=0&amp;thumbfov=100", "link")</f>
        <v>link</v>
      </c>
    </row>
    <row r="1348" spans="1:4" x14ac:dyDescent="0.45">
      <c r="A1348" t="s">
        <v>1350</v>
      </c>
      <c r="B1348">
        <v>34.006895200000002</v>
      </c>
      <c r="C1348">
        <v>-118.4134371</v>
      </c>
      <c r="D1348" t="str">
        <f>HYPERLINK("https://streetviewpixels-pa.googleapis.com/v1/thumbnail?panoid=6NIZ6ltAVw509hFJvnw3Jw&amp;cb_client=search.gws-prod.gps&amp;w=408&amp;h=240&amp;yaw=266.46997&amp;pitch=0&amp;thumbfov=100", "link")</f>
        <v>link</v>
      </c>
    </row>
    <row r="1349" spans="1:4" x14ac:dyDescent="0.45">
      <c r="A1349" t="s">
        <v>1351</v>
      </c>
      <c r="B1349">
        <v>34.0243482999999</v>
      </c>
      <c r="C1349">
        <v>-118.4076091</v>
      </c>
      <c r="D1349" t="str">
        <f>HYPERLINK("https://streetviewpixels-pa.googleapis.com/v1/thumbnail?panoid=nBSBv8wcloo9UwhJhb_GIA&amp;cb_client=search.gws-prod.gps&amp;w=408&amp;h=240&amp;yaw=67.428215&amp;pitch=0&amp;thumbfov=100", "link")</f>
        <v>link</v>
      </c>
    </row>
    <row r="1350" spans="1:4" x14ac:dyDescent="0.45">
      <c r="A1350" t="s">
        <v>1352</v>
      </c>
      <c r="B1350">
        <v>33.978917000000003</v>
      </c>
      <c r="C1350">
        <v>-118.393754</v>
      </c>
      <c r="D1350" t="str">
        <f>HYPERLINK("https://streetviewpixels-pa.googleapis.com/v1/thumbnail?panoid=0qnUEYFF2qHUyP9UdrJ-lw&amp;cb_client=search.gws-prod.gps&amp;w=408&amp;h=240&amp;yaw=292.68954&amp;pitch=0&amp;thumbfov=100", "link")</f>
        <v>link</v>
      </c>
    </row>
    <row r="1351" spans="1:4" x14ac:dyDescent="0.45">
      <c r="A1351" t="s">
        <v>1353</v>
      </c>
      <c r="B1351">
        <v>33.976670400000003</v>
      </c>
      <c r="C1351">
        <v>-118.390607</v>
      </c>
      <c r="D1351" t="str">
        <f>HYPERLINK("https://streetviewpixels-pa.googleapis.com/v1/thumbnail?panoid=o3qMTaMuRBJi2VAVnT21Cw&amp;cb_client=search.gws-prod.gps&amp;w=408&amp;h=240&amp;yaw=88.29975&amp;pitch=0&amp;thumbfov=100", "link")</f>
        <v>link</v>
      </c>
    </row>
    <row r="1352" spans="1:4" x14ac:dyDescent="0.45">
      <c r="A1352" t="s">
        <v>1354</v>
      </c>
      <c r="B1352">
        <v>33.978111200000001</v>
      </c>
      <c r="C1352">
        <v>-118.3705286</v>
      </c>
      <c r="D1352" t="str">
        <f>HYPERLINK("https://streetviewpixels-pa.googleapis.com/v1/thumbnail?panoid=fxQGAMgEM7YOtwxN8FC3pw&amp;cb_client=search.gws-prod.gps&amp;w=408&amp;h=240&amp;yaw=114.01165&amp;pitch=0&amp;thumbfov=100", "link")</f>
        <v>link</v>
      </c>
    </row>
    <row r="1353" spans="1:4" x14ac:dyDescent="0.45">
      <c r="A1353" t="s">
        <v>1355</v>
      </c>
      <c r="B1353">
        <v>33.976671400000001</v>
      </c>
      <c r="C1353">
        <v>-118.39168189999999</v>
      </c>
      <c r="D1353" t="str">
        <f>HYPERLINK("https://streetviewpixels-pa.googleapis.com/v1/thumbnail?panoid=ZbvawqnLmRUqOqRs_fHZvg&amp;cb_client=search.gws-prod.gps&amp;w=408&amp;h=240&amp;yaw=170.31815&amp;pitch=0&amp;thumbfov=100", "link")</f>
        <v>link</v>
      </c>
    </row>
    <row r="1354" spans="1:4" x14ac:dyDescent="0.45">
      <c r="A1354" t="s">
        <v>1356</v>
      </c>
      <c r="B1354">
        <v>33.977040000000002</v>
      </c>
      <c r="C1354">
        <v>-118.39242</v>
      </c>
      <c r="D1354" t="str">
        <f>HYPERLINK("https://lh5.googleusercontent.com/p/AF1QipMYSuDNK209XY4QtBkJXxy_NbBsJ9dZkPg0ziVN=w408-h306-k-no", "link")</f>
        <v>link</v>
      </c>
    </row>
    <row r="1355" spans="1:4" x14ac:dyDescent="0.45">
      <c r="A1355" t="s">
        <v>1357</v>
      </c>
      <c r="B1355">
        <v>33.975839700000002</v>
      </c>
      <c r="C1355">
        <v>-118.3909963</v>
      </c>
      <c r="D1355" t="str">
        <f>HYPERLINK("https://streetviewpixels-pa.googleapis.com/v1/thumbnail?panoid=7wgbsQqSjSOLT9s-2sw8nA&amp;cb_client=search.gws-prod.gps&amp;w=408&amp;h=240&amp;yaw=120.13682&amp;pitch=0&amp;thumbfov=100", "link")</f>
        <v>link</v>
      </c>
    </row>
    <row r="1356" spans="1:4" x14ac:dyDescent="0.45">
      <c r="A1356" t="s">
        <v>1358</v>
      </c>
      <c r="B1356">
        <v>34.0019706</v>
      </c>
      <c r="C1356">
        <v>-118.3862079</v>
      </c>
      <c r="D1356" t="s">
        <v>5</v>
      </c>
    </row>
    <row r="1357" spans="1:4" x14ac:dyDescent="0.45">
      <c r="A1357" t="s">
        <v>1359</v>
      </c>
      <c r="B1357">
        <v>33.975459200000003</v>
      </c>
      <c r="C1357">
        <v>-118.3909343</v>
      </c>
      <c r="D1357" t="str">
        <f>HYPERLINK("https://streetviewpixels-pa.googleapis.com/v1/thumbnail?panoid=suE4HHtpRJxzpQbqtQVgEQ&amp;cb_client=search.gws-prod.gps&amp;w=408&amp;h=240&amp;yaw=358.8024&amp;pitch=0&amp;thumbfov=100", "link")</f>
        <v>link</v>
      </c>
    </row>
    <row r="1358" spans="1:4" x14ac:dyDescent="0.45">
      <c r="A1358" t="s">
        <v>1360</v>
      </c>
      <c r="B1358">
        <v>34.001966999999901</v>
      </c>
      <c r="C1358">
        <v>-118.3879202</v>
      </c>
      <c r="D1358" t="str">
        <f>HYPERLINK("https://streetviewpixels-pa.googleapis.com/v1/thumbnail?panoid=lW68u12_u5fWS4ymz8jyJw&amp;cb_client=search.gws-prod.gps&amp;w=408&amp;h=240&amp;yaw=260.32632&amp;pitch=0&amp;thumbfov=100", "link")</f>
        <v>link</v>
      </c>
    </row>
    <row r="1359" spans="1:4" x14ac:dyDescent="0.45">
      <c r="A1359" t="s">
        <v>1361</v>
      </c>
      <c r="B1359">
        <v>33.975948000000002</v>
      </c>
      <c r="C1359">
        <v>-118.37103500000001</v>
      </c>
      <c r="D1359" t="str">
        <f>HYPERLINK("https://streetviewpixels-pa.googleapis.com/v1/thumbnail?panoid=M9pHpRY722GPpHWltyVGYA&amp;cb_client=search.gws-prod.gps&amp;w=408&amp;h=240&amp;yaw=303.26114&amp;pitch=0&amp;thumbfov=100", "link")</f>
        <v>link</v>
      </c>
    </row>
    <row r="1360" spans="1:4" x14ac:dyDescent="0.45">
      <c r="A1360" t="s">
        <v>1362</v>
      </c>
      <c r="B1360">
        <v>34.002304499999902</v>
      </c>
      <c r="C1360">
        <v>-118.3898901</v>
      </c>
      <c r="D1360" t="str">
        <f>HYPERLINK("https://streetviewpixels-pa.googleapis.com/v1/thumbnail?panoid=yQizbBka_-cjCqjyaA5htw&amp;cb_client=search.gws-prod.gps&amp;w=408&amp;h=240&amp;yaw=116.45821&amp;pitch=0&amp;thumbfov=100", "link")</f>
        <v>link</v>
      </c>
    </row>
    <row r="1361" spans="1:4" x14ac:dyDescent="0.45">
      <c r="A1361" t="s">
        <v>1363</v>
      </c>
      <c r="B1361">
        <v>33.977356999999998</v>
      </c>
      <c r="C1361">
        <v>-118.3673087</v>
      </c>
      <c r="D1361" t="str">
        <f>HYPERLINK("https://streetviewpixels-pa.googleapis.com/v1/thumbnail?panoid=Y783yuQDenhChnFBxK_b4g&amp;cb_client=search.gws-prod.gps&amp;w=408&amp;h=240&amp;yaw=7.512747&amp;pitch=0&amp;thumbfov=100", "link")</f>
        <v>link</v>
      </c>
    </row>
    <row r="1362" spans="1:4" x14ac:dyDescent="0.45">
      <c r="A1362" t="s">
        <v>1364</v>
      </c>
      <c r="B1362">
        <v>33.987951799999998</v>
      </c>
      <c r="C1362">
        <v>-118.3819618</v>
      </c>
      <c r="D1362" t="s">
        <v>5</v>
      </c>
    </row>
    <row r="1363" spans="1:4" x14ac:dyDescent="0.45">
      <c r="A1363" t="s">
        <v>1365</v>
      </c>
      <c r="B1363">
        <v>33.987859499999999</v>
      </c>
      <c r="C1363">
        <v>-118.3835674</v>
      </c>
      <c r="D1363" t="s">
        <v>5</v>
      </c>
    </row>
    <row r="1364" spans="1:4" x14ac:dyDescent="0.45">
      <c r="A1364" t="s">
        <v>1366</v>
      </c>
      <c r="B1364">
        <v>33.988027700000004</v>
      </c>
      <c r="C1364">
        <v>-118.3837044</v>
      </c>
      <c r="D1364" t="str">
        <f>HYPERLINK("https://streetviewpixels-pa.googleapis.com/v1/thumbnail?panoid=dcs4rYqN5aFFo5Aupc81iA&amp;cb_client=search.gws-prod.gps&amp;w=408&amp;h=240&amp;yaw=354.80396&amp;pitch=0&amp;thumbfov=100", "link")</f>
        <v>link</v>
      </c>
    </row>
    <row r="1365" spans="1:4" x14ac:dyDescent="0.45">
      <c r="A1365" t="s">
        <v>1367</v>
      </c>
      <c r="B1365">
        <v>33.988247299999998</v>
      </c>
      <c r="C1365">
        <v>-118.38400969999999</v>
      </c>
      <c r="D1365" t="str">
        <f>HYPERLINK("https://streetviewpixels-pa.googleapis.com/v1/thumbnail?panoid=4NkIevcswGWBpU-GxTwF9g&amp;cb_client=search.gws-prod.gps&amp;w=408&amp;h=240&amp;yaw=40.93116&amp;pitch=0&amp;thumbfov=100", "link")</f>
        <v>link</v>
      </c>
    </row>
    <row r="1366" spans="1:4" x14ac:dyDescent="0.45">
      <c r="A1366" t="s">
        <v>1368</v>
      </c>
      <c r="B1366">
        <v>33.988043599999997</v>
      </c>
      <c r="C1366">
        <v>-118.3848028</v>
      </c>
      <c r="D1366" t="str">
        <f>HYPERLINK("https://lh5.googleusercontent.com/p/AF1QipOzMASAwsu1hEUEyTVvrAFDUR5BLP5PCYP6likh=w408-h510-k-no", "link")</f>
        <v>link</v>
      </c>
    </row>
    <row r="1367" spans="1:4" x14ac:dyDescent="0.45">
      <c r="A1367" t="s">
        <v>1369</v>
      </c>
      <c r="B1367">
        <v>33.988496099999999</v>
      </c>
      <c r="C1367">
        <v>-118.38595789999999</v>
      </c>
      <c r="D1367" t="str">
        <f>HYPERLINK("https://streetviewpixels-pa.googleapis.com/v1/thumbnail?panoid=srINc__n9OielH521EBScw&amp;cb_client=search.gws-prod.gps&amp;w=408&amp;h=240&amp;yaw=50.68916&amp;pitch=0&amp;thumbfov=100", "link")</f>
        <v>link</v>
      </c>
    </row>
    <row r="1368" spans="1:4" x14ac:dyDescent="0.45">
      <c r="A1368" t="s">
        <v>1370</v>
      </c>
      <c r="B1368">
        <v>33.988428900000002</v>
      </c>
      <c r="C1368">
        <v>-118.3877</v>
      </c>
      <c r="D1368" t="str">
        <f>HYPERLINK("https://streetviewpixels-pa.googleapis.com/v1/thumbnail?panoid=jUfvsnKJKyTmD1uqBTS4bA&amp;cb_client=search.gws-prod.gps&amp;w=408&amp;h=240&amp;yaw=247.35164&amp;pitch=0&amp;thumbfov=100", "link")</f>
        <v>link</v>
      </c>
    </row>
    <row r="1369" spans="1:4" x14ac:dyDescent="0.45">
      <c r="A1369" t="s">
        <v>1371</v>
      </c>
      <c r="B1369">
        <v>33.983496799999998</v>
      </c>
      <c r="C1369">
        <v>-118.3877449</v>
      </c>
      <c r="D1369" t="str">
        <f>HYPERLINK("https://streetviewpixels-pa.googleapis.com/v1/thumbnail?panoid=jOrEUTCqESvdHnRd3GdaoQ&amp;cb_client=search.gws-prod.gps&amp;w=408&amp;h=240&amp;yaw=21.686378&amp;pitch=0&amp;thumbfov=100", "link")</f>
        <v>link</v>
      </c>
    </row>
    <row r="1370" spans="1:4" x14ac:dyDescent="0.45">
      <c r="A1370" t="s">
        <v>1372</v>
      </c>
      <c r="B1370">
        <v>33.9847325</v>
      </c>
      <c r="C1370">
        <v>-118.3902995</v>
      </c>
      <c r="D1370" t="s">
        <v>5</v>
      </c>
    </row>
    <row r="1371" spans="1:4" x14ac:dyDescent="0.45">
      <c r="A1371" t="s">
        <v>1373</v>
      </c>
      <c r="B1371">
        <v>33.9799863</v>
      </c>
      <c r="C1371">
        <v>-118.3870897</v>
      </c>
      <c r="D1371" t="s">
        <v>5</v>
      </c>
    </row>
    <row r="1372" spans="1:4" x14ac:dyDescent="0.45">
      <c r="A1372" t="s">
        <v>1374</v>
      </c>
      <c r="B1372">
        <v>33.9786614</v>
      </c>
      <c r="C1372">
        <v>-118.38508760000001</v>
      </c>
      <c r="D1372" t="str">
        <f>HYPERLINK("https://streetviewpixels-pa.googleapis.com/v1/thumbnail?panoid=VAV0cvxEUEvP9F2cQFg0MA&amp;cb_client=search.gws-prod.gps&amp;w=408&amp;h=240&amp;yaw=114.161606&amp;pitch=0&amp;thumbfov=100", "link")</f>
        <v>link</v>
      </c>
    </row>
    <row r="1373" spans="1:4" x14ac:dyDescent="0.45">
      <c r="A1373" t="s">
        <v>1375</v>
      </c>
      <c r="B1373">
        <v>33.9854311</v>
      </c>
      <c r="C1373">
        <v>-118.3933176</v>
      </c>
      <c r="D1373" t="str">
        <f>HYPERLINK("https://lh5.googleusercontent.com/p/AF1QipP7vGUBwHhXkSOflcD_tm0sdF61NRCXrA5-E80J=w408-h272-k-no", "link")</f>
        <v>link</v>
      </c>
    </row>
    <row r="1374" spans="1:4" x14ac:dyDescent="0.45">
      <c r="A1374" t="s">
        <v>1376</v>
      </c>
      <c r="B1374">
        <v>33.981304399999999</v>
      </c>
      <c r="C1374">
        <v>-118.3915451</v>
      </c>
      <c r="D1374" t="str">
        <f>HYPERLINK("https://streetviewpixels-pa.googleapis.com/v1/thumbnail?panoid=jEaK_LzqizleRG4S0XaLug&amp;cb_client=search.gws-prod.gps&amp;w=408&amp;h=240&amp;yaw=111.20887&amp;pitch=0&amp;thumbfov=100", "link")</f>
        <v>link</v>
      </c>
    </row>
    <row r="1375" spans="1:4" x14ac:dyDescent="0.45">
      <c r="A1375" t="s">
        <v>1377</v>
      </c>
      <c r="B1375">
        <v>33.9867372</v>
      </c>
      <c r="C1375">
        <v>-118.3944079</v>
      </c>
      <c r="D1375" t="str">
        <f>HYPERLINK("https://streetviewpixels-pa.googleapis.com/v1/thumbnail?panoid=kNUgcv9ZKax0PcLyGfDJ-w&amp;cb_client=search.gws-prod.gps&amp;w=408&amp;h=240&amp;yaw=255.58716&amp;pitch=0&amp;thumbfov=100", "link")</f>
        <v>link</v>
      </c>
    </row>
    <row r="1376" spans="1:4" x14ac:dyDescent="0.45">
      <c r="A1376" t="s">
        <v>1378</v>
      </c>
      <c r="B1376">
        <v>33.984006999999998</v>
      </c>
      <c r="C1376">
        <v>-118.39452660000001</v>
      </c>
      <c r="D1376" t="str">
        <f>HYPERLINK("https://streetviewpixels-pa.googleapis.com/v1/thumbnail?panoid=5SJuXq4zStCppV7-DB2_qg&amp;cb_client=search.gws-prod.gps&amp;w=408&amp;h=240&amp;yaw=149.53009&amp;pitch=0&amp;thumbfov=100", "link")</f>
        <v>link</v>
      </c>
    </row>
    <row r="1377" spans="1:4" x14ac:dyDescent="0.45">
      <c r="A1377" t="s">
        <v>1379</v>
      </c>
      <c r="B1377">
        <v>33.9885114</v>
      </c>
      <c r="C1377">
        <v>-118.36783509999999</v>
      </c>
      <c r="D1377" t="s">
        <v>5</v>
      </c>
    </row>
    <row r="1378" spans="1:4" x14ac:dyDescent="0.45">
      <c r="A1378" t="s">
        <v>1380</v>
      </c>
      <c r="B1378">
        <v>33.978346100000003</v>
      </c>
      <c r="C1378">
        <v>-118.37230889999999</v>
      </c>
      <c r="D1378" t="str">
        <f>HYPERLINK("https://streetviewpixels-pa.googleapis.com/v1/thumbnail?panoid=6TGTPziwbY9Op7kEaMw9Ow&amp;cb_client=search.gws-prod.gps&amp;w=408&amp;h=240&amp;yaw=318.33002&amp;pitch=0&amp;thumbfov=100", "link")</f>
        <v>link</v>
      </c>
    </row>
    <row r="1379" spans="1:4" x14ac:dyDescent="0.45">
      <c r="A1379" t="s">
        <v>1381</v>
      </c>
      <c r="B1379">
        <v>33.979956000000001</v>
      </c>
      <c r="C1379">
        <v>-118.393979</v>
      </c>
      <c r="D1379" t="str">
        <f>HYPERLINK("https://streetviewpixels-pa.googleapis.com/v1/thumbnail?panoid=xIYFvJskGe8RcZ3gZSStZw&amp;cb_client=search.gws-prod.gps&amp;w=408&amp;h=240&amp;yaw=310.0099&amp;pitch=0&amp;thumbfov=100", "link")</f>
        <v>link</v>
      </c>
    </row>
    <row r="1380" spans="1:4" x14ac:dyDescent="0.45">
      <c r="A1380" t="s">
        <v>1382</v>
      </c>
      <c r="B1380">
        <v>33.982028199999903</v>
      </c>
      <c r="C1380">
        <v>-118.3956658</v>
      </c>
      <c r="D1380" t="str">
        <f>HYPERLINK("https://streetviewpixels-pa.googleapis.com/v1/thumbnail?panoid=j_1FL-2SsVZCRAkNdPmjTA&amp;cb_client=search.gws-prod.gps&amp;w=408&amp;h=240&amp;yaw=71.96782&amp;pitch=0&amp;thumbfov=100", "link")</f>
        <v>link</v>
      </c>
    </row>
    <row r="1381" spans="1:4" x14ac:dyDescent="0.45">
      <c r="A1381" t="s">
        <v>1383</v>
      </c>
      <c r="B1381">
        <v>33.982558599999997</v>
      </c>
      <c r="C1381">
        <v>-118.3966396</v>
      </c>
      <c r="D1381" t="str">
        <f>HYPERLINK("https://streetviewpixels-pa.googleapis.com/v1/thumbnail?panoid=KN-asWvFi5lyf-HyrZ4JvA&amp;cb_client=search.gws-prod.gps&amp;w=408&amp;h=240&amp;yaw=47.40147&amp;pitch=0&amp;thumbfov=100", "link")</f>
        <v>link</v>
      </c>
    </row>
    <row r="1382" spans="1:4" x14ac:dyDescent="0.45">
      <c r="A1382" t="s">
        <v>1384</v>
      </c>
      <c r="B1382">
        <v>34.031411800000001</v>
      </c>
      <c r="C1382">
        <v>-118.3714052</v>
      </c>
      <c r="D1382" t="str">
        <f>HYPERLINK("https://streetviewpixels-pa.googleapis.com/v1/thumbnail?panoid=MTSPpvL9MIfsHqg4kGHKXA&amp;cb_client=search.gws-prod.gps&amp;w=408&amp;h=240&amp;yaw=351.30414&amp;pitch=0&amp;thumbfov=100", "link")</f>
        <v>link</v>
      </c>
    </row>
    <row r="1383" spans="1:4" x14ac:dyDescent="0.45">
      <c r="A1383" t="s">
        <v>1385</v>
      </c>
      <c r="B1383">
        <v>34.032158899999999</v>
      </c>
      <c r="C1383">
        <v>-118.3713133</v>
      </c>
      <c r="D1383" t="str">
        <f>HYPERLINK("https://streetviewpixels-pa.googleapis.com/v1/thumbnail?panoid=b8AsN0lOWgJo12LGweVY_g&amp;cb_client=search.gws-prod.gps&amp;w=408&amp;h=240&amp;yaw=185.3661&amp;pitch=0&amp;thumbfov=100", "link")</f>
        <v>link</v>
      </c>
    </row>
    <row r="1384" spans="1:4" x14ac:dyDescent="0.45">
      <c r="A1384" t="s">
        <v>1386</v>
      </c>
      <c r="B1384">
        <v>34.039007400000003</v>
      </c>
      <c r="C1384">
        <v>-118.3758954</v>
      </c>
      <c r="D1384" t="str">
        <f>HYPERLINK("https://streetviewpixels-pa.googleapis.com/v1/thumbnail?panoid=H65eNCrEnQLwEbsw95QUiQ&amp;cb_client=search.gws-prod.gps&amp;w=408&amp;h=240&amp;yaw=223.06436&amp;pitch=0&amp;thumbfov=100", "link")</f>
        <v>link</v>
      </c>
    </row>
    <row r="1385" spans="1:4" x14ac:dyDescent="0.45">
      <c r="A1385" t="s">
        <v>1387</v>
      </c>
      <c r="B1385">
        <v>34.035254799999997</v>
      </c>
      <c r="C1385">
        <v>-118.3788708</v>
      </c>
      <c r="D1385" t="str">
        <f>HYPERLINK("https://streetviewpixels-pa.googleapis.com/v1/thumbnail?panoid=Tk9_Tb5LkfpMAnMr8EHS-A&amp;cb_client=search.gws-prod.gps&amp;w=408&amp;h=240&amp;yaw=331.1389&amp;pitch=0&amp;thumbfov=100", "link")</f>
        <v>link</v>
      </c>
    </row>
    <row r="1386" spans="1:4" x14ac:dyDescent="0.45">
      <c r="A1386" t="s">
        <v>1388</v>
      </c>
      <c r="B1386">
        <v>34.020422799999999</v>
      </c>
      <c r="C1386">
        <v>-118.4240557</v>
      </c>
      <c r="D1386" t="str">
        <f>HYPERLINK("https://streetviewpixels-pa.googleapis.com/v1/thumbnail?panoid=HH0ZEVgP6DJhDqMtHfopyQ&amp;cb_client=search.gws-prod.gps&amp;w=408&amp;h=240&amp;yaw=236.36163&amp;pitch=0&amp;thumbfov=100", "link")</f>
        <v>link</v>
      </c>
    </row>
    <row r="1387" spans="1:4" x14ac:dyDescent="0.45">
      <c r="A1387" t="s">
        <v>1389</v>
      </c>
      <c r="B1387">
        <v>34.020513600000001</v>
      </c>
      <c r="C1387">
        <v>-118.4242055</v>
      </c>
      <c r="D1387" t="str">
        <f>HYPERLINK("https://streetviewpixels-pa.googleapis.com/v1/thumbnail?panoid=HH0ZEVgP6DJhDqMtHfopyQ&amp;cb_client=search.gws-prod.gps&amp;w=408&amp;h=240&amp;yaw=236.36163&amp;pitch=0&amp;thumbfov=100", "link")</f>
        <v>link</v>
      </c>
    </row>
    <row r="1388" spans="1:4" x14ac:dyDescent="0.45">
      <c r="A1388" t="s">
        <v>1390</v>
      </c>
      <c r="B1388">
        <v>34.016551100000001</v>
      </c>
      <c r="C1388">
        <v>-118.42899730000001</v>
      </c>
      <c r="D1388" t="s">
        <v>5</v>
      </c>
    </row>
    <row r="1389" spans="1:4" x14ac:dyDescent="0.45">
      <c r="A1389" t="s">
        <v>1391</v>
      </c>
      <c r="B1389">
        <v>34.005760600000002</v>
      </c>
      <c r="C1389">
        <v>-118.4308149</v>
      </c>
      <c r="D1389" t="str">
        <f>HYPERLINK("https://streetviewpixels-pa.googleapis.com/v1/thumbnail?panoid=N_h9g6qa3k4KmGkbkoIuuQ&amp;cb_client=search.gws-prod.gps&amp;w=408&amp;h=240&amp;yaw=232.89812&amp;pitch=0&amp;thumbfov=100", "link")</f>
        <v>link</v>
      </c>
    </row>
    <row r="1390" spans="1:4" x14ac:dyDescent="0.45">
      <c r="A1390" t="s">
        <v>1392</v>
      </c>
      <c r="B1390">
        <v>33.993750599999998</v>
      </c>
      <c r="C1390">
        <v>-118.40664769999999</v>
      </c>
      <c r="D1390" t="str">
        <f>HYPERLINK("https://streetviewpixels-pa.googleapis.com/v1/thumbnail?panoid=e4z_-1Q7Es-FjrxZk4eaZQ&amp;cb_client=search.gws-prod.gps&amp;w=408&amp;h=240&amp;yaw=36.795883&amp;pitch=0&amp;thumbfov=100", "link")</f>
        <v>link</v>
      </c>
    </row>
    <row r="1391" spans="1:4" x14ac:dyDescent="0.45">
      <c r="A1391" t="s">
        <v>1393</v>
      </c>
      <c r="B1391">
        <v>33.996898600000002</v>
      </c>
      <c r="C1391">
        <v>-118.42575979999999</v>
      </c>
      <c r="D1391" t="str">
        <f>HYPERLINK("https://streetviewpixels-pa.googleapis.com/v1/thumbnail?panoid=yPoJWZoMWQrAbcRvYapAiQ&amp;cb_client=search.gws-prod.gps&amp;w=408&amp;h=240&amp;yaw=299.5858&amp;pitch=0&amp;thumbfov=100", "link")</f>
        <v>link</v>
      </c>
    </row>
    <row r="1392" spans="1:4" x14ac:dyDescent="0.45">
      <c r="A1392" t="s">
        <v>1394</v>
      </c>
      <c r="B1392">
        <v>34.002340500000003</v>
      </c>
      <c r="C1392">
        <v>-118.43194699999999</v>
      </c>
      <c r="D1392" t="str">
        <f>HYPERLINK("https://streetviewpixels-pa.googleapis.com/v1/thumbnail?panoid=G4uQJgzTMjgImaASuEl53g&amp;cb_client=search.gws-prod.gps&amp;w=408&amp;h=240&amp;yaw=69.9927&amp;pitch=0&amp;thumbfov=100", "link")</f>
        <v>link</v>
      </c>
    </row>
    <row r="1393" spans="1:4" x14ac:dyDescent="0.45">
      <c r="A1393" t="s">
        <v>1395</v>
      </c>
      <c r="B1393">
        <v>34.001595600000002</v>
      </c>
      <c r="C1393">
        <v>-118.43168970000001</v>
      </c>
      <c r="D1393" t="s">
        <v>5</v>
      </c>
    </row>
    <row r="1394" spans="1:4" x14ac:dyDescent="0.45">
      <c r="A1394" t="s">
        <v>1396</v>
      </c>
      <c r="B1394">
        <v>34.004817699999997</v>
      </c>
      <c r="C1394">
        <v>-118.4336382</v>
      </c>
      <c r="D1394" t="str">
        <f>HYPERLINK("https://streetviewpixels-pa.googleapis.com/v1/thumbnail?panoid=TO2FfdZs4HygsZtxuUURzw&amp;cb_client=search.gws-prod.gps&amp;w=408&amp;h=240&amp;yaw=339.9315&amp;pitch=0&amp;thumbfov=100", "link")</f>
        <v>link</v>
      </c>
    </row>
    <row r="1395" spans="1:4" x14ac:dyDescent="0.45">
      <c r="A1395" t="s">
        <v>1397</v>
      </c>
      <c r="B1395">
        <v>34.002751099999998</v>
      </c>
      <c r="C1395">
        <v>-118.4148493</v>
      </c>
      <c r="D1395" t="str">
        <f>HYPERLINK("https://streetviewpixels-pa.googleapis.com/v1/thumbnail?panoid=XID4zr2qCorUlndvLU-dfg&amp;cb_client=search.gws-prod.gps&amp;w=408&amp;h=240&amp;yaw=132.30293&amp;pitch=0&amp;thumbfov=100", "link")</f>
        <v>link</v>
      </c>
    </row>
    <row r="1396" spans="1:4" x14ac:dyDescent="0.45">
      <c r="A1396" t="s">
        <v>1398</v>
      </c>
      <c r="B1396">
        <v>34.006625999999997</v>
      </c>
      <c r="C1396">
        <v>-118.4288636</v>
      </c>
      <c r="D1396" t="str">
        <f>HYPERLINK("https://streetviewpixels-pa.googleapis.com/v1/thumbnail?panoid=vcaEMP5wfq5fASRaxrBYsA&amp;cb_client=search.gws-prod.gps&amp;w=408&amp;h=240&amp;yaw=6.148018&amp;pitch=0&amp;thumbfov=100", "link")</f>
        <v>link</v>
      </c>
    </row>
    <row r="1397" spans="1:4" x14ac:dyDescent="0.45">
      <c r="A1397" t="s">
        <v>1399</v>
      </c>
      <c r="B1397">
        <v>34.027531600000003</v>
      </c>
      <c r="C1397">
        <v>-118.4134088</v>
      </c>
      <c r="D1397" t="str">
        <f>HYPERLINK("https://streetviewpixels-pa.googleapis.com/v1/thumbnail?panoid=rs6S_v-AmU-iWZNTUM4WJQ&amp;cb_client=search.gws-prod.gps&amp;w=408&amp;h=240&amp;yaw=126.277466&amp;pitch=0&amp;thumbfov=100", "link")</f>
        <v>link</v>
      </c>
    </row>
    <row r="1398" spans="1:4" x14ac:dyDescent="0.45">
      <c r="A1398" t="s">
        <v>1400</v>
      </c>
      <c r="B1398">
        <v>34.055593999999999</v>
      </c>
      <c r="C1398">
        <v>-117.8196945</v>
      </c>
      <c r="D1398" t="s">
        <v>5</v>
      </c>
    </row>
    <row r="1399" spans="1:4" x14ac:dyDescent="0.45">
      <c r="A1399" t="s">
        <v>1401</v>
      </c>
      <c r="B1399">
        <v>34.0093367999999</v>
      </c>
      <c r="C1399">
        <v>-117.8449517</v>
      </c>
      <c r="D1399" t="str">
        <f>HYPERLINK("https://lh5.googleusercontent.com/p/AF1QipM3R0JfGMdN24qBV7-qw0MJmHvLCx8icDn2DSVl=w408-h544-k-no", "link")</f>
        <v>link</v>
      </c>
    </row>
    <row r="1400" spans="1:4" x14ac:dyDescent="0.45">
      <c r="A1400" t="s">
        <v>1402</v>
      </c>
      <c r="B1400">
        <v>34.0558829</v>
      </c>
      <c r="C1400">
        <v>-117.8203036</v>
      </c>
      <c r="D1400" t="str">
        <f>HYPERLINK("https://streetviewpixels-pa.googleapis.com/v1/thumbnail?panoid=1i8BYWEjMhNFhoMxC34q-g&amp;cb_client=search.gws-prod.gps&amp;w=408&amp;h=240&amp;yaw=269.11703&amp;pitch=0&amp;thumbfov=100", "link")</f>
        <v>link</v>
      </c>
    </row>
    <row r="1401" spans="1:4" x14ac:dyDescent="0.45">
      <c r="A1401" t="s">
        <v>1403</v>
      </c>
      <c r="B1401">
        <v>34.045927800000001</v>
      </c>
      <c r="C1401">
        <v>-117.8404841</v>
      </c>
      <c r="D1401" t="s">
        <v>5</v>
      </c>
    </row>
    <row r="1402" spans="1:4" x14ac:dyDescent="0.45">
      <c r="A1402" t="s">
        <v>1404</v>
      </c>
      <c r="B1402">
        <v>34.042626400000003</v>
      </c>
      <c r="C1402">
        <v>-117.8440825</v>
      </c>
      <c r="D1402" t="str">
        <f>HYPERLINK("https://streetviewpixels-pa.googleapis.com/v1/thumbnail?panoid=bipXWUnoyJ0BMFlteqv5iA&amp;cb_client=search.gws-prod.gps&amp;w=408&amp;h=240&amp;yaw=206.24048&amp;pitch=0&amp;thumbfov=100", "link")</f>
        <v>link</v>
      </c>
    </row>
    <row r="1403" spans="1:4" x14ac:dyDescent="0.45">
      <c r="A1403" t="s">
        <v>1405</v>
      </c>
      <c r="B1403">
        <v>34.0482388</v>
      </c>
      <c r="C1403">
        <v>-117.8395683</v>
      </c>
      <c r="D1403" t="s">
        <v>5</v>
      </c>
    </row>
    <row r="1404" spans="1:4" x14ac:dyDescent="0.45">
      <c r="A1404" t="s">
        <v>1406</v>
      </c>
      <c r="B1404">
        <v>34.007088600000003</v>
      </c>
      <c r="C1404">
        <v>-117.8454772</v>
      </c>
      <c r="D1404" t="str">
        <f>HYPERLINK("https://streetviewpixels-pa.googleapis.com/v1/thumbnail?panoid=X2W5SqE-2yzf3Z4oiOeBJA&amp;cb_client=search.gws-prod.gps&amp;w=408&amp;h=240&amp;yaw=313.44397&amp;pitch=0&amp;thumbfov=100", "link")</f>
        <v>link</v>
      </c>
    </row>
    <row r="1405" spans="1:4" x14ac:dyDescent="0.45">
      <c r="A1405" t="s">
        <v>1407</v>
      </c>
      <c r="B1405">
        <v>34.045041699999999</v>
      </c>
      <c r="C1405">
        <v>-117.8444265</v>
      </c>
      <c r="D1405" t="s">
        <v>5</v>
      </c>
    </row>
    <row r="1406" spans="1:4" x14ac:dyDescent="0.45">
      <c r="A1406" t="s">
        <v>1408</v>
      </c>
      <c r="B1406">
        <v>34.059053200000001</v>
      </c>
      <c r="C1406">
        <v>-117.8170384</v>
      </c>
      <c r="D1406" t="s">
        <v>5</v>
      </c>
    </row>
    <row r="1407" spans="1:4" x14ac:dyDescent="0.45">
      <c r="A1407" t="s">
        <v>1409</v>
      </c>
      <c r="B1407">
        <v>34.059972500000001</v>
      </c>
      <c r="C1407">
        <v>-117.81565500000001</v>
      </c>
      <c r="D1407" t="s">
        <v>5</v>
      </c>
    </row>
    <row r="1408" spans="1:4" x14ac:dyDescent="0.45">
      <c r="A1408" t="s">
        <v>1410</v>
      </c>
      <c r="B1408">
        <v>34.0600539</v>
      </c>
      <c r="C1408">
        <v>-117.81557290000001</v>
      </c>
      <c r="D1408" t="s">
        <v>5</v>
      </c>
    </row>
    <row r="1409" spans="1:4" x14ac:dyDescent="0.45">
      <c r="A1409" t="s">
        <v>1411</v>
      </c>
      <c r="B1409">
        <v>34.060104799999998</v>
      </c>
      <c r="C1409">
        <v>-117.8154438</v>
      </c>
      <c r="D1409" t="s">
        <v>5</v>
      </c>
    </row>
    <row r="1410" spans="1:4" x14ac:dyDescent="0.45">
      <c r="A1410" t="s">
        <v>1412</v>
      </c>
      <c r="B1410">
        <v>34.024766999999997</v>
      </c>
      <c r="C1410">
        <v>-117.81152969999999</v>
      </c>
      <c r="D1410" t="str">
        <f>HYPERLINK("https://lh5.googleusercontent.com/p/AF1QipM0r0qPtUhvOQZoGVoXrW698HcAftSTNFAzSP4C=w426-h240-k-no", "link")</f>
        <v>link</v>
      </c>
    </row>
    <row r="1411" spans="1:4" x14ac:dyDescent="0.45">
      <c r="A1411" t="s">
        <v>1413</v>
      </c>
      <c r="B1411">
        <v>34.047918099999997</v>
      </c>
      <c r="C1411">
        <v>-117.814657</v>
      </c>
      <c r="D1411" t="s">
        <v>5</v>
      </c>
    </row>
    <row r="1412" spans="1:4" x14ac:dyDescent="0.45">
      <c r="A1412" t="s">
        <v>1414</v>
      </c>
      <c r="B1412">
        <v>34.049010899999899</v>
      </c>
      <c r="C1412">
        <v>-117.8145512</v>
      </c>
      <c r="D1412" t="str">
        <f>HYPERLINK("https://streetviewpixels-pa.googleapis.com/v1/thumbnail?panoid=GkdvluC8q3gJg2J5qJWvvA&amp;cb_client=search.gws-prod.gps&amp;w=408&amp;h=240&amp;yaw=230.6154&amp;pitch=0&amp;thumbfov=100", "link")</f>
        <v>link</v>
      </c>
    </row>
    <row r="1413" spans="1:4" x14ac:dyDescent="0.45">
      <c r="A1413" t="s">
        <v>1415</v>
      </c>
      <c r="B1413">
        <v>34.048696800000002</v>
      </c>
      <c r="C1413">
        <v>-117.8175421</v>
      </c>
      <c r="D1413" t="s">
        <v>5</v>
      </c>
    </row>
    <row r="1414" spans="1:4" x14ac:dyDescent="0.45">
      <c r="A1414" t="s">
        <v>1416</v>
      </c>
      <c r="B1414">
        <v>34.048751499999902</v>
      </c>
      <c r="C1414">
        <v>-117.8175117</v>
      </c>
      <c r="D1414" t="s">
        <v>5</v>
      </c>
    </row>
    <row r="1415" spans="1:4" x14ac:dyDescent="0.45">
      <c r="A1415" t="s">
        <v>1417</v>
      </c>
      <c r="B1415">
        <v>34.049453199999903</v>
      </c>
      <c r="C1415">
        <v>-117.8154356</v>
      </c>
      <c r="D1415" t="s">
        <v>5</v>
      </c>
    </row>
    <row r="1416" spans="1:4" x14ac:dyDescent="0.45">
      <c r="A1416" t="s">
        <v>1418</v>
      </c>
      <c r="B1416">
        <v>34.048896999999997</v>
      </c>
      <c r="C1416">
        <v>-117.8195113</v>
      </c>
      <c r="D1416" t="s">
        <v>5</v>
      </c>
    </row>
    <row r="1417" spans="1:4" x14ac:dyDescent="0.45">
      <c r="A1417" t="s">
        <v>1419</v>
      </c>
      <c r="B1417">
        <v>34.051333999999997</v>
      </c>
      <c r="C1417">
        <v>-117.8144738</v>
      </c>
      <c r="D1417" t="s">
        <v>5</v>
      </c>
    </row>
    <row r="1418" spans="1:4" x14ac:dyDescent="0.45">
      <c r="A1418" t="s">
        <v>1420</v>
      </c>
      <c r="B1418">
        <v>34.050944999999999</v>
      </c>
      <c r="C1418">
        <v>-117.8196172</v>
      </c>
      <c r="D1418" t="s">
        <v>5</v>
      </c>
    </row>
    <row r="1419" spans="1:4" x14ac:dyDescent="0.45">
      <c r="A1419" t="s">
        <v>1421</v>
      </c>
      <c r="B1419">
        <v>34.051016400000002</v>
      </c>
      <c r="C1419">
        <v>-117.82028529999999</v>
      </c>
      <c r="D1419" t="str">
        <f>HYPERLINK("https://streetviewpixels-pa.googleapis.com/v1/thumbnail?panoid=ZkyYKTDEH6jr9eWrrkYPqg&amp;cb_client=search.gws-prod.gps&amp;w=408&amp;h=240&amp;yaw=117.94569&amp;pitch=0&amp;thumbfov=100", "link")</f>
        <v>link</v>
      </c>
    </row>
    <row r="1420" spans="1:4" x14ac:dyDescent="0.45">
      <c r="A1420" t="s">
        <v>1422</v>
      </c>
      <c r="B1420">
        <v>34.051938499999999</v>
      </c>
      <c r="C1420">
        <v>-117.8159393</v>
      </c>
      <c r="D1420" t="s">
        <v>5</v>
      </c>
    </row>
    <row r="1421" spans="1:4" x14ac:dyDescent="0.45">
      <c r="A1421" t="s">
        <v>1423</v>
      </c>
      <c r="B1421">
        <v>34.0519575</v>
      </c>
      <c r="C1421">
        <v>-117.8198652</v>
      </c>
      <c r="D1421" t="str">
        <f>HYPERLINK("https://lh5.googleusercontent.com/p/AF1QipNhmav_-svKcAlKOZnVfD4jzxXNbH1O4Mm9FxWF=w408-h544-k-no", "link")</f>
        <v>link</v>
      </c>
    </row>
    <row r="1422" spans="1:4" x14ac:dyDescent="0.45">
      <c r="A1422" t="s">
        <v>1424</v>
      </c>
      <c r="B1422">
        <v>34.0527449</v>
      </c>
      <c r="C1422">
        <v>-117.8152801</v>
      </c>
      <c r="D1422" t="str">
        <f>HYPERLINK("https://streetviewpixels-pa.googleapis.com/v1/thumbnail?panoid=HP-WGaZ04LzA5RH6NLQk2w&amp;cb_client=search.gws-prod.gps&amp;w=408&amp;h=240&amp;yaw=133.2809&amp;pitch=0&amp;thumbfov=100", "link")</f>
        <v>link</v>
      </c>
    </row>
    <row r="1423" spans="1:4" x14ac:dyDescent="0.45">
      <c r="A1423" t="s">
        <v>1425</v>
      </c>
      <c r="B1423">
        <v>33.999111900000003</v>
      </c>
      <c r="C1423">
        <v>-117.7968874</v>
      </c>
      <c r="D1423" t="s">
        <v>5</v>
      </c>
    </row>
    <row r="1424" spans="1:4" x14ac:dyDescent="0.45">
      <c r="A1424" t="s">
        <v>1426</v>
      </c>
      <c r="B1424">
        <v>34.025290200000001</v>
      </c>
      <c r="C1424">
        <v>-117.84667020000001</v>
      </c>
      <c r="D1424" t="str">
        <f>HYPERLINK("https://streetviewpixels-pa.googleapis.com/v1/thumbnail?panoid=GcPTS-al_NP6WzVEgP86fg&amp;cb_client=search.gws-prod.gps&amp;w=408&amp;h=240&amp;yaw=340.39407&amp;pitch=0&amp;thumbfov=100", "link")</f>
        <v>link</v>
      </c>
    </row>
    <row r="1425" spans="1:4" x14ac:dyDescent="0.45">
      <c r="A1425" t="s">
        <v>1427</v>
      </c>
      <c r="B1425">
        <v>34.024916500000003</v>
      </c>
      <c r="C1425">
        <v>-117.84715869999999</v>
      </c>
      <c r="D1425" t="s">
        <v>5</v>
      </c>
    </row>
    <row r="1426" spans="1:4" x14ac:dyDescent="0.45">
      <c r="A1426" t="s">
        <v>1428</v>
      </c>
      <c r="B1426">
        <v>34.021445999999997</v>
      </c>
      <c r="C1426">
        <v>-117.775818</v>
      </c>
      <c r="D1426" t="s">
        <v>5</v>
      </c>
    </row>
    <row r="1427" spans="1:4" x14ac:dyDescent="0.45">
      <c r="A1427" t="s">
        <v>1429</v>
      </c>
      <c r="B1427">
        <v>34.054661000000003</v>
      </c>
      <c r="C1427">
        <v>-117.81510919999999</v>
      </c>
      <c r="D1427" t="s">
        <v>5</v>
      </c>
    </row>
    <row r="1428" spans="1:4" x14ac:dyDescent="0.45">
      <c r="A1428" t="s">
        <v>1430</v>
      </c>
      <c r="B1428">
        <v>33.996328400000003</v>
      </c>
      <c r="C1428">
        <v>-117.798582</v>
      </c>
      <c r="D1428" t="s">
        <v>5</v>
      </c>
    </row>
    <row r="1429" spans="1:4" x14ac:dyDescent="0.45">
      <c r="A1429" t="s">
        <v>1431</v>
      </c>
      <c r="B1429">
        <v>34.054866799999999</v>
      </c>
      <c r="C1429">
        <v>-117.8167636</v>
      </c>
      <c r="D1429" t="s">
        <v>5</v>
      </c>
    </row>
    <row r="1430" spans="1:4" x14ac:dyDescent="0.45">
      <c r="A1430" t="s">
        <v>1432</v>
      </c>
      <c r="B1430">
        <v>33.921833900000003</v>
      </c>
      <c r="C1430">
        <v>-117.83824180000001</v>
      </c>
      <c r="D1430" t="str">
        <f>HYPERLINK("https://lh5.googleusercontent.com/p/AF1QipM8mBKIwmwbJoWvqwjVmeFNnRqgPDe2lPCPpGJ9=w408-h306-k-no", "link")</f>
        <v>link</v>
      </c>
    </row>
    <row r="1431" spans="1:4" x14ac:dyDescent="0.45">
      <c r="A1431" t="s">
        <v>1433</v>
      </c>
      <c r="B1431">
        <v>33.921791300000002</v>
      </c>
      <c r="C1431">
        <v>-117.8374963</v>
      </c>
      <c r="D1431" t="s">
        <v>5</v>
      </c>
    </row>
    <row r="1432" spans="1:4" x14ac:dyDescent="0.45">
      <c r="A1432" t="s">
        <v>1434</v>
      </c>
      <c r="B1432">
        <v>34.0496731</v>
      </c>
      <c r="C1432">
        <v>-117.8433265</v>
      </c>
      <c r="D1432" t="str">
        <f>HYPERLINK("https://streetviewpixels-pa.googleapis.com/v1/thumbnail?panoid=YRX7QY3WVjSOXGG6Y4PFWQ&amp;cb_client=search.gws-prod.gps&amp;w=408&amp;h=240&amp;yaw=5.9614606&amp;pitch=0&amp;thumbfov=100", "link")</f>
        <v>link</v>
      </c>
    </row>
    <row r="1433" spans="1:4" x14ac:dyDescent="0.45">
      <c r="A1433" t="s">
        <v>1435</v>
      </c>
      <c r="B1433">
        <v>34.049909300000003</v>
      </c>
      <c r="C1433">
        <v>-117.84323139999999</v>
      </c>
      <c r="D1433" t="s">
        <v>5</v>
      </c>
    </row>
    <row r="1434" spans="1:4" x14ac:dyDescent="0.45">
      <c r="A1434" t="s">
        <v>1436</v>
      </c>
      <c r="B1434">
        <v>33.984570900000001</v>
      </c>
      <c r="C1434">
        <v>-117.8422193</v>
      </c>
      <c r="D1434" t="str">
        <f>HYPERLINK("https://lh5.googleusercontent.com/p/AF1QipOn8yTL-gMOO1cK4dR0kcFwWtVodDVnwWc95kQI=w426-h240-k-no", "link")</f>
        <v>link</v>
      </c>
    </row>
    <row r="1435" spans="1:4" x14ac:dyDescent="0.45">
      <c r="A1435" t="s">
        <v>1437</v>
      </c>
      <c r="B1435">
        <v>33.992816300000001</v>
      </c>
      <c r="C1435">
        <v>-117.8400262</v>
      </c>
      <c r="D1435" t="s">
        <v>5</v>
      </c>
    </row>
    <row r="1436" spans="1:4" x14ac:dyDescent="0.45">
      <c r="A1436" t="s">
        <v>1438</v>
      </c>
      <c r="B1436">
        <v>33.998443600000002</v>
      </c>
      <c r="C1436">
        <v>-117.8448334</v>
      </c>
      <c r="D1436" t="str">
        <f>HYPERLINK("https://lh5.googleusercontent.com/p/AF1QipM616ZO-IuhC1dZDxxvUITpIOTHBSehZvJpB0nK=w408-h306-k-no", "link")</f>
        <v>link</v>
      </c>
    </row>
    <row r="1437" spans="1:4" x14ac:dyDescent="0.45">
      <c r="A1437" t="s">
        <v>1439</v>
      </c>
      <c r="B1437">
        <v>33.923644199999998</v>
      </c>
      <c r="C1437">
        <v>-117.8382234</v>
      </c>
      <c r="D1437" t="s">
        <v>5</v>
      </c>
    </row>
    <row r="1438" spans="1:4" x14ac:dyDescent="0.45">
      <c r="A1438" t="s">
        <v>1440</v>
      </c>
      <c r="B1438">
        <v>33.923608000000002</v>
      </c>
      <c r="C1438">
        <v>-117.83909060000001</v>
      </c>
      <c r="D1438" t="s">
        <v>5</v>
      </c>
    </row>
    <row r="1439" spans="1:4" x14ac:dyDescent="0.45">
      <c r="A1439" t="s">
        <v>1441</v>
      </c>
      <c r="B1439">
        <v>33.923583899999997</v>
      </c>
      <c r="C1439">
        <v>-117.8380114</v>
      </c>
      <c r="D1439" t="s">
        <v>5</v>
      </c>
    </row>
    <row r="1440" spans="1:4" x14ac:dyDescent="0.45">
      <c r="A1440" t="s">
        <v>1442</v>
      </c>
      <c r="B1440">
        <v>34.060965000000003</v>
      </c>
      <c r="C1440">
        <v>-117.8144738</v>
      </c>
      <c r="D1440" t="s">
        <v>5</v>
      </c>
    </row>
    <row r="1441" spans="1:4" x14ac:dyDescent="0.45">
      <c r="A1441" t="s">
        <v>1443</v>
      </c>
      <c r="B1441">
        <v>34.061076900000003</v>
      </c>
      <c r="C1441">
        <v>-117.8145012</v>
      </c>
      <c r="D1441" t="s">
        <v>5</v>
      </c>
    </row>
    <row r="1442" spans="1:4" x14ac:dyDescent="0.45">
      <c r="A1442" t="s">
        <v>1444</v>
      </c>
      <c r="B1442">
        <v>34.060695899999999</v>
      </c>
      <c r="C1442">
        <v>-117.8127331</v>
      </c>
      <c r="D1442" t="s">
        <v>5</v>
      </c>
    </row>
    <row r="1443" spans="1:4" x14ac:dyDescent="0.45">
      <c r="A1443" t="s">
        <v>1445</v>
      </c>
      <c r="B1443">
        <v>34.0607714</v>
      </c>
      <c r="C1443">
        <v>-117.812642</v>
      </c>
      <c r="D1443" t="s">
        <v>5</v>
      </c>
    </row>
    <row r="1444" spans="1:4" x14ac:dyDescent="0.45">
      <c r="A1444" t="s">
        <v>1446</v>
      </c>
      <c r="B1444">
        <v>34.061549999999997</v>
      </c>
      <c r="C1444">
        <v>-117.81547190000001</v>
      </c>
      <c r="D1444" t="s">
        <v>5</v>
      </c>
    </row>
    <row r="1445" spans="1:4" x14ac:dyDescent="0.45">
      <c r="A1445" t="s">
        <v>1447</v>
      </c>
      <c r="B1445">
        <v>34.061658999999999</v>
      </c>
      <c r="C1445">
        <v>-117.81557290000001</v>
      </c>
      <c r="D1445" t="s">
        <v>5</v>
      </c>
    </row>
    <row r="1446" spans="1:4" x14ac:dyDescent="0.45">
      <c r="A1446" t="s">
        <v>1448</v>
      </c>
      <c r="B1446">
        <v>34.061419200000003</v>
      </c>
      <c r="C1446">
        <v>-117.8116345</v>
      </c>
      <c r="D1446" t="s">
        <v>5</v>
      </c>
    </row>
    <row r="1447" spans="1:4" x14ac:dyDescent="0.45">
      <c r="A1447" t="s">
        <v>1449</v>
      </c>
      <c r="B1447">
        <v>34.061433699999903</v>
      </c>
      <c r="C1447">
        <v>-117.8116014</v>
      </c>
      <c r="D1447" t="s">
        <v>5</v>
      </c>
    </row>
    <row r="1448" spans="1:4" x14ac:dyDescent="0.45">
      <c r="A1448" t="s">
        <v>1450</v>
      </c>
      <c r="B1448">
        <v>36.093895699999997</v>
      </c>
      <c r="C1448">
        <v>-80.2417789</v>
      </c>
      <c r="D1448" t="str">
        <f>HYPERLINK("https://streetviewpixels-pa.googleapis.com/v1/thumbnail?panoid=368KBNSXiRNTKOZKYO1tKQ&amp;cb_client=search.gws-prod.gps&amp;w=408&amp;h=240&amp;yaw=93.002525&amp;pitch=0&amp;thumbfov=100", "link")</f>
        <v>link</v>
      </c>
    </row>
    <row r="1449" spans="1:4" x14ac:dyDescent="0.45">
      <c r="A1449" t="s">
        <v>1451</v>
      </c>
      <c r="B1449">
        <v>36.093907799999997</v>
      </c>
      <c r="C1449">
        <v>-80.241713700000005</v>
      </c>
      <c r="D1449" t="str">
        <f>HYPERLINK("https://streetviewpixels-pa.googleapis.com/v1/thumbnail?panoid=368KBNSXiRNTKOZKYO1tKQ&amp;cb_client=search.gws-prod.gps&amp;w=408&amp;h=240&amp;yaw=93.002525&amp;pitch=0&amp;thumbfov=100", "link")</f>
        <v>link</v>
      </c>
    </row>
    <row r="1450" spans="1:4" x14ac:dyDescent="0.45">
      <c r="A1450" t="s">
        <v>1452</v>
      </c>
      <c r="B1450">
        <v>36.097156099999999</v>
      </c>
      <c r="C1450">
        <v>-80.251844599999998</v>
      </c>
      <c r="D1450" t="s">
        <v>5</v>
      </c>
    </row>
    <row r="1451" spans="1:4" x14ac:dyDescent="0.45">
      <c r="A1451" t="s">
        <v>1453</v>
      </c>
      <c r="B1451">
        <v>36.099431999999901</v>
      </c>
      <c r="C1451">
        <v>-80.242693000000003</v>
      </c>
      <c r="D1451" t="s">
        <v>5</v>
      </c>
    </row>
    <row r="1452" spans="1:4" x14ac:dyDescent="0.45">
      <c r="A1452" t="s">
        <v>1454</v>
      </c>
      <c r="B1452">
        <v>36.100711899999901</v>
      </c>
      <c r="C1452">
        <v>-80.246947399999996</v>
      </c>
      <c r="D1452" t="str">
        <f>HYPERLINK("https://streetviewpixels-pa.googleapis.com/v1/thumbnail?panoid=gPAkPh9fKVPA1Zq9hb29lg&amp;cb_client=search.gws-prod.gps&amp;w=408&amp;h=240&amp;yaw=87.75489&amp;pitch=0&amp;thumbfov=100", "link")</f>
        <v>link</v>
      </c>
    </row>
    <row r="1453" spans="1:4" x14ac:dyDescent="0.45">
      <c r="A1453" t="s">
        <v>1455</v>
      </c>
      <c r="B1453">
        <v>36.0993783999999</v>
      </c>
      <c r="C1453">
        <v>-80.242404899999997</v>
      </c>
      <c r="D1453" t="str">
        <f>HYPERLINK("https://streetviewpixels-pa.googleapis.com/v1/thumbnail?panoid=Jzr97M4dETFCU8YJB5q09A&amp;cb_client=search.gws-prod.gps&amp;w=408&amp;h=240&amp;yaw=267.87335&amp;pitch=0&amp;thumbfov=100", "link")</f>
        <v>link</v>
      </c>
    </row>
    <row r="1454" spans="1:4" x14ac:dyDescent="0.45">
      <c r="A1454" t="s">
        <v>1456</v>
      </c>
      <c r="B1454">
        <v>36.0946517</v>
      </c>
      <c r="C1454">
        <v>-80.240487899999906</v>
      </c>
      <c r="D1454" t="str">
        <f>HYPERLINK("https://streetviewpixels-pa.googleapis.com/v1/thumbnail?panoid=ScHrTfiC8T_s061WV_MBxw&amp;cb_client=search.gws-prod.gps&amp;w=408&amp;h=240&amp;yaw=348.02817&amp;pitch=0&amp;thumbfov=100", "link")</f>
        <v>link</v>
      </c>
    </row>
    <row r="1455" spans="1:4" x14ac:dyDescent="0.45">
      <c r="A1455" t="s">
        <v>1457</v>
      </c>
      <c r="B1455">
        <v>36.098560900000003</v>
      </c>
      <c r="C1455">
        <v>-80.240470000000002</v>
      </c>
      <c r="D1455" t="s">
        <v>5</v>
      </c>
    </row>
    <row r="1456" spans="1:4" x14ac:dyDescent="0.45">
      <c r="A1456" t="s">
        <v>1458</v>
      </c>
      <c r="B1456">
        <v>36.101355599999998</v>
      </c>
      <c r="C1456">
        <v>-80.248249799999996</v>
      </c>
      <c r="D1456" t="s">
        <v>5</v>
      </c>
    </row>
    <row r="1457" spans="1:4" x14ac:dyDescent="0.45">
      <c r="A1457" t="s">
        <v>1459</v>
      </c>
      <c r="B1457">
        <v>36.098526900000003</v>
      </c>
      <c r="C1457">
        <v>-80.240408799999997</v>
      </c>
      <c r="D1457" t="s">
        <v>5</v>
      </c>
    </row>
    <row r="1458" spans="1:4" x14ac:dyDescent="0.45">
      <c r="A1458" t="s">
        <v>1460</v>
      </c>
      <c r="B1458">
        <v>36.101630399999998</v>
      </c>
      <c r="C1458">
        <v>-80.247828299999995</v>
      </c>
      <c r="D1458" t="s">
        <v>5</v>
      </c>
    </row>
    <row r="1459" spans="1:4" x14ac:dyDescent="0.45">
      <c r="A1459" t="s">
        <v>1461</v>
      </c>
      <c r="B1459">
        <v>36.097809300000002</v>
      </c>
      <c r="C1459">
        <v>-80.253256999999905</v>
      </c>
      <c r="D1459" t="str">
        <f>HYPERLINK("https://streetviewpixels-pa.googleapis.com/v1/thumbnail?panoid=hRDJO0FFK_j_KqdxoXbbfw&amp;cb_client=search.gws-prod.gps&amp;w=408&amp;h=240&amp;yaw=188.42775&amp;pitch=0&amp;thumbfov=100", "link")</f>
        <v>link</v>
      </c>
    </row>
    <row r="1460" spans="1:4" x14ac:dyDescent="0.45">
      <c r="A1460" t="s">
        <v>1462</v>
      </c>
      <c r="B1460">
        <v>36.101800799999999</v>
      </c>
      <c r="C1460">
        <v>-80.247847800000002</v>
      </c>
      <c r="D1460" t="str">
        <f>HYPERLINK("https://lh5.googleusercontent.com/p/AF1QipNI0znZMTC2_AjZPKhlzD-IJwRPHq9RhaOH0dxs=w408-h240-k-no-pi-22.074236-ya92.92922-ro-1.3791794-fo100", "link")</f>
        <v>link</v>
      </c>
    </row>
    <row r="1461" spans="1:4" x14ac:dyDescent="0.45">
      <c r="A1461" t="s">
        <v>1463</v>
      </c>
      <c r="B1461">
        <v>36.101073100000001</v>
      </c>
      <c r="C1461">
        <v>-80.241715599999907</v>
      </c>
      <c r="D1461" t="s">
        <v>5</v>
      </c>
    </row>
    <row r="1462" spans="1:4" x14ac:dyDescent="0.45">
      <c r="A1462" t="s">
        <v>1464</v>
      </c>
      <c r="B1462">
        <v>36.101197800000001</v>
      </c>
      <c r="C1462">
        <v>-80.241322299999993</v>
      </c>
      <c r="D1462" t="str">
        <f>HYPERLINK("https://streetviewpixels-pa.googleapis.com/v1/thumbnail?panoid=MUG2Pyn2mo0DuZptJd4TDQ&amp;cb_client=search.gws-prod.gps&amp;w=408&amp;h=240&amp;yaw=273.871&amp;pitch=0&amp;thumbfov=100", "link")</f>
        <v>link</v>
      </c>
    </row>
    <row r="1463" spans="1:4" x14ac:dyDescent="0.45">
      <c r="A1463" t="s">
        <v>1465</v>
      </c>
      <c r="B1463">
        <v>36.101093300000002</v>
      </c>
      <c r="C1463">
        <v>-80.239947099999995</v>
      </c>
      <c r="D1463" t="str">
        <f>HYPERLINK("https://streetviewpixels-pa.googleapis.com/v1/thumbnail?panoid=EXR1TeyZgO0df5n-BoQPDA&amp;cb_client=search.gws-prod.gps&amp;w=408&amp;h=240&amp;yaw=45.3016&amp;pitch=0&amp;thumbfov=100", "link")</f>
        <v>link</v>
      </c>
    </row>
    <row r="1464" spans="1:4" x14ac:dyDescent="0.45">
      <c r="A1464" t="s">
        <v>1466</v>
      </c>
      <c r="B1464">
        <v>36.102333299999998</v>
      </c>
      <c r="C1464">
        <v>-80.240670100000003</v>
      </c>
      <c r="D1464" t="s">
        <v>5</v>
      </c>
    </row>
    <row r="1465" spans="1:4" x14ac:dyDescent="0.45">
      <c r="A1465" t="s">
        <v>1467</v>
      </c>
      <c r="B1465">
        <v>36.101085400000002</v>
      </c>
      <c r="C1465">
        <v>-80.237894799999907</v>
      </c>
      <c r="D1465" t="s">
        <v>5</v>
      </c>
    </row>
    <row r="1466" spans="1:4" x14ac:dyDescent="0.45">
      <c r="A1466" t="s">
        <v>1468</v>
      </c>
      <c r="B1466">
        <v>36.103194099999897</v>
      </c>
      <c r="C1466">
        <v>-80.238395199999999</v>
      </c>
      <c r="D1466" t="s">
        <v>5</v>
      </c>
    </row>
    <row r="1467" spans="1:4" x14ac:dyDescent="0.45">
      <c r="A1467" t="s">
        <v>1469</v>
      </c>
      <c r="B1467">
        <v>36.1022824</v>
      </c>
      <c r="C1467">
        <v>-80.237238499999904</v>
      </c>
      <c r="D1467" t="str">
        <f>HYPERLINK("https://lh5.googleusercontent.com/p/AF1QipNJ4KVMB-VwT_FnzdNwQVpwXjeu7dZ32xSNaTZd=w408-h544-k-no", "link")</f>
        <v>link</v>
      </c>
    </row>
    <row r="1468" spans="1:4" x14ac:dyDescent="0.45">
      <c r="A1468" t="s">
        <v>1470</v>
      </c>
      <c r="B1468">
        <v>36.096048500000002</v>
      </c>
      <c r="C1468">
        <v>-80.246501800000004</v>
      </c>
      <c r="D1468" t="str">
        <f>HYPERLINK("https://streetviewpixels-pa.googleapis.com/v1/thumbnail?panoid=M9j0rspkSKWjMxF07EMFKg&amp;cb_client=search.gws-prod.gps&amp;w=408&amp;h=240&amp;yaw=99.326965&amp;pitch=0&amp;thumbfov=100", "link")</f>
        <v>link</v>
      </c>
    </row>
    <row r="1469" spans="1:4" x14ac:dyDescent="0.45">
      <c r="A1469" t="s">
        <v>1471</v>
      </c>
      <c r="B1469">
        <v>36.096117</v>
      </c>
      <c r="C1469">
        <v>-80.246055699999999</v>
      </c>
      <c r="D1469" t="str">
        <f>HYPERLINK("https://streetviewpixels-pa.googleapis.com/v1/thumbnail?panoid=KEc_eHH3x8F_Vf7T5xXErQ&amp;cb_client=search.gws-prod.gps&amp;w=408&amp;h=240&amp;yaw=255.8526&amp;pitch=0&amp;thumbfov=100", "link")</f>
        <v>link</v>
      </c>
    </row>
    <row r="1470" spans="1:4" x14ac:dyDescent="0.45">
      <c r="A1470" t="s">
        <v>1472</v>
      </c>
      <c r="B1470">
        <v>36.095333500000002</v>
      </c>
      <c r="C1470">
        <v>-80.245866999999905</v>
      </c>
      <c r="D1470" t="str">
        <f>HYPERLINK("https://streetviewpixels-pa.googleapis.com/v1/thumbnail?panoid=1I86XvScHUYAoZRg-_NICQ&amp;cb_client=search.gws-prod.gps&amp;w=408&amp;h=240&amp;yaw=132.72034&amp;pitch=0&amp;thumbfov=100", "link")</f>
        <v>link</v>
      </c>
    </row>
    <row r="1471" spans="1:4" x14ac:dyDescent="0.45">
      <c r="A1471" t="s">
        <v>1473</v>
      </c>
      <c r="B1471">
        <v>36.095375500000003</v>
      </c>
      <c r="C1471">
        <v>-80.244811900000002</v>
      </c>
      <c r="D1471" t="s">
        <v>5</v>
      </c>
    </row>
    <row r="1472" spans="1:4" x14ac:dyDescent="0.45">
      <c r="A1472" t="s">
        <v>1474</v>
      </c>
      <c r="B1472">
        <v>36.094512399999999</v>
      </c>
      <c r="C1472">
        <v>-80.246572399999906</v>
      </c>
      <c r="D1472" t="str">
        <f>HYPERLINK("https://streetviewpixels-pa.googleapis.com/v1/thumbnail?panoid=McIOBGEUBjUypNzcVFJwPg&amp;cb_client=search.gws-prod.gps&amp;w=408&amp;h=240&amp;yaw=261.6385&amp;pitch=0&amp;thumbfov=100", "link")</f>
        <v>link</v>
      </c>
    </row>
    <row r="1473" spans="1:4" x14ac:dyDescent="0.45">
      <c r="A1473" t="s">
        <v>1475</v>
      </c>
      <c r="B1473">
        <v>36.096481599999997</v>
      </c>
      <c r="C1473">
        <v>-80.249007399999996</v>
      </c>
      <c r="D1473" t="str">
        <f>HYPERLINK("https://streetviewpixels-pa.googleapis.com/v1/thumbnail?panoid=Hmwl8FML_Nc-BG9agsMmyQ&amp;cb_client=search.gws-prod.gps&amp;w=408&amp;h=240&amp;yaw=148.71109&amp;pitch=0&amp;thumbfov=100", "link")</f>
        <v>link</v>
      </c>
    </row>
    <row r="1474" spans="1:4" x14ac:dyDescent="0.45">
      <c r="A1474" t="s">
        <v>1476</v>
      </c>
      <c r="B1474">
        <v>36.097912299999997</v>
      </c>
      <c r="C1474">
        <v>-80.245155799999907</v>
      </c>
      <c r="D1474" t="s">
        <v>5</v>
      </c>
    </row>
    <row r="1475" spans="1:4" x14ac:dyDescent="0.45">
      <c r="A1475" t="s">
        <v>1477</v>
      </c>
      <c r="B1475">
        <v>36.098561699999998</v>
      </c>
      <c r="C1475">
        <v>-80.247279800000001</v>
      </c>
      <c r="D1475" t="s">
        <v>5</v>
      </c>
    </row>
    <row r="1476" spans="1:4" x14ac:dyDescent="0.45">
      <c r="A1476" t="s">
        <v>1478</v>
      </c>
      <c r="B1476">
        <v>36.095862400000001</v>
      </c>
      <c r="C1476">
        <v>-80.243126099999998</v>
      </c>
      <c r="D1476" t="str">
        <f>HYPERLINK("https://streetviewpixels-pa.googleapis.com/v1/thumbnail?panoid=CmKiGvrBfqBaq_FzQgpcDQ&amp;cb_client=search.gws-prod.gps&amp;w=408&amp;h=240&amp;yaw=292.384&amp;pitch=0&amp;thumbfov=100", "link")</f>
        <v>link</v>
      </c>
    </row>
    <row r="1477" spans="1:4" x14ac:dyDescent="0.45">
      <c r="A1477" t="s">
        <v>1479</v>
      </c>
      <c r="B1477">
        <v>36.097599299999999</v>
      </c>
      <c r="C1477">
        <v>-80.243454599999893</v>
      </c>
      <c r="D1477" t="str">
        <f>HYPERLINK("https://streetviewpixels-pa.googleapis.com/v1/thumbnail?panoid=KNGRzuxjaBgzpbcUlzEQ4A&amp;cb_client=search.gws-prod.gps&amp;w=408&amp;h=240&amp;yaw=153.89476&amp;pitch=0&amp;thumbfov=100", "link")</f>
        <v>link</v>
      </c>
    </row>
    <row r="1478" spans="1:4" x14ac:dyDescent="0.45">
      <c r="A1478" t="s">
        <v>1480</v>
      </c>
      <c r="B1478">
        <v>36.098939999999999</v>
      </c>
      <c r="C1478">
        <v>-80.247637999999995</v>
      </c>
      <c r="D1478" t="s">
        <v>5</v>
      </c>
    </row>
    <row r="1479" spans="1:4" x14ac:dyDescent="0.45">
      <c r="A1479" t="s">
        <v>1481</v>
      </c>
      <c r="B1479">
        <v>36.098998100000003</v>
      </c>
      <c r="C1479">
        <v>-80.2456222</v>
      </c>
      <c r="D1479" t="str">
        <f>HYPERLINK("https://lh5.googleusercontent.com/p/AF1QipOgNn7Mci2JTAxLCrIMu7cNUpjQtqM3fPAErTMu=w408-h544-k-no", "link")</f>
        <v>link</v>
      </c>
    </row>
    <row r="1480" spans="1:4" x14ac:dyDescent="0.45">
      <c r="A1480" t="s">
        <v>1482</v>
      </c>
      <c r="B1480">
        <v>36.096355699999997</v>
      </c>
      <c r="C1480">
        <v>-80.250623699999906</v>
      </c>
      <c r="D1480" t="s">
        <v>5</v>
      </c>
    </row>
    <row r="1481" spans="1:4" x14ac:dyDescent="0.45">
      <c r="A1481" t="s">
        <v>1483</v>
      </c>
      <c r="B1481">
        <v>36.09413</v>
      </c>
      <c r="C1481">
        <v>-80.242927999999907</v>
      </c>
      <c r="D1481" t="s">
        <v>5</v>
      </c>
    </row>
    <row r="1482" spans="1:4" x14ac:dyDescent="0.45">
      <c r="A1482" t="s">
        <v>1484</v>
      </c>
      <c r="B1482">
        <v>36.096130100000003</v>
      </c>
      <c r="C1482">
        <v>-80.242127299999893</v>
      </c>
      <c r="D1482" t="str">
        <f>HYPERLINK("https://streetviewpixels-pa.googleapis.com/v1/thumbnail?panoid=Z2_WNgkgvtYJyIhsgugcZg&amp;cb_client=search.gws-prod.gps&amp;w=408&amp;h=240&amp;yaw=191.81465&amp;pitch=0&amp;thumbfov=100", "link")</f>
        <v>link</v>
      </c>
    </row>
    <row r="1483" spans="1:4" x14ac:dyDescent="0.45">
      <c r="A1483" t="s">
        <v>1485</v>
      </c>
      <c r="B1483">
        <v>36.097939699999998</v>
      </c>
      <c r="C1483">
        <v>-80.250247299999998</v>
      </c>
      <c r="D1483" t="str">
        <f>HYPERLINK("https://streetviewpixels-pa.googleapis.com/v1/thumbnail?panoid=hD37aMl451oAzmfJnLWACA&amp;cb_client=search.gws-prod.gps&amp;w=408&amp;h=240&amp;yaw=2.5368724&amp;pitch=0&amp;thumbfov=100", "link")</f>
        <v>link</v>
      </c>
    </row>
    <row r="1484" spans="1:4" x14ac:dyDescent="0.45">
      <c r="A1484" t="s">
        <v>1486</v>
      </c>
      <c r="B1484">
        <v>36.099398899999898</v>
      </c>
      <c r="C1484">
        <v>-80.244351100000003</v>
      </c>
      <c r="D1484" t="str">
        <f>HYPERLINK("https://lh5.googleusercontent.com/p/AF1QipM3jdFK3TFqfttGFXUDkt7gM_E65mYb8vPddMv3=w408-h306-k-no", "link")</f>
        <v>link</v>
      </c>
    </row>
    <row r="1485" spans="1:4" x14ac:dyDescent="0.45">
      <c r="A1485" t="s">
        <v>1487</v>
      </c>
      <c r="B1485">
        <v>36.097268999999997</v>
      </c>
      <c r="C1485">
        <v>-80.251514</v>
      </c>
      <c r="D1485" t="s">
        <v>5</v>
      </c>
    </row>
    <row r="1486" spans="1:4" x14ac:dyDescent="0.45">
      <c r="A1486" t="s">
        <v>1488</v>
      </c>
      <c r="B1486">
        <v>36.097596600000003</v>
      </c>
      <c r="C1486">
        <v>-80.241432000000003</v>
      </c>
      <c r="D1486" t="s">
        <v>5</v>
      </c>
    </row>
    <row r="1487" spans="1:4" x14ac:dyDescent="0.45">
      <c r="A1487" t="s">
        <v>1489</v>
      </c>
      <c r="B1487">
        <v>34.071631199999999</v>
      </c>
      <c r="C1487">
        <v>-118.0326197</v>
      </c>
      <c r="D1487" t="str">
        <f>HYPERLINK("https://streetviewpixels-pa.googleapis.com/v1/thumbnail?panoid=ObG0g2H1NRfOuOK5ln1I7g&amp;cb_client=search.gws-prod.gps&amp;w=408&amp;h=240&amp;yaw=218.23024&amp;pitch=0&amp;thumbfov=100", "link")</f>
        <v>link</v>
      </c>
    </row>
    <row r="1488" spans="1:4" x14ac:dyDescent="0.45">
      <c r="A1488" t="s">
        <v>1490</v>
      </c>
      <c r="B1488">
        <v>34.075205499999903</v>
      </c>
      <c r="C1488">
        <v>-118.035901</v>
      </c>
      <c r="D1488" t="str">
        <f>HYPERLINK("https://streetviewpixels-pa.googleapis.com/v1/thumbnail?panoid=HEqjhzaauLbK0V6Pj0YOLw&amp;cb_client=search.gws-prod.gps&amp;w=408&amp;h=240&amp;yaw=98.11998&amp;pitch=0&amp;thumbfov=100", "link")</f>
        <v>link</v>
      </c>
    </row>
    <row r="1489" spans="1:4" x14ac:dyDescent="0.45">
      <c r="A1489" t="s">
        <v>1491</v>
      </c>
      <c r="B1489">
        <v>34.076558499999997</v>
      </c>
      <c r="C1489">
        <v>-118.0357162</v>
      </c>
      <c r="D1489" t="s">
        <v>5</v>
      </c>
    </row>
    <row r="1490" spans="1:4" x14ac:dyDescent="0.45">
      <c r="A1490" t="s">
        <v>1492</v>
      </c>
      <c r="B1490">
        <v>34.076761400000002</v>
      </c>
      <c r="C1490">
        <v>-118.03600109999999</v>
      </c>
      <c r="D1490" t="s">
        <v>5</v>
      </c>
    </row>
    <row r="1491" spans="1:4" x14ac:dyDescent="0.45">
      <c r="A1491" t="s">
        <v>1493</v>
      </c>
      <c r="B1491">
        <v>34.078967400000003</v>
      </c>
      <c r="C1491">
        <v>-118.03825860000001</v>
      </c>
      <c r="D1491" t="str">
        <f>HYPERLINK("https://streetviewpixels-pa.googleapis.com/v1/thumbnail?panoid=JXDJGWPHq5TuSiDemkQBbA&amp;cb_client=search.gws-prod.gps&amp;w=408&amp;h=240&amp;yaw=130.92815&amp;pitch=0&amp;thumbfov=100", "link")</f>
        <v>link</v>
      </c>
    </row>
    <row r="1492" spans="1:4" x14ac:dyDescent="0.45">
      <c r="A1492" t="s">
        <v>1494</v>
      </c>
      <c r="B1492">
        <v>34.071967399999998</v>
      </c>
      <c r="C1492">
        <v>-118.0433879</v>
      </c>
      <c r="D1492" t="str">
        <f>HYPERLINK("https://lh5.googleusercontent.com/p/AF1QipMJV_P9XDZKViU-ZJwIVHYxfd_RPMM5LIcarjSQ=w408-h306-k-no", "link")</f>
        <v>link</v>
      </c>
    </row>
    <row r="1493" spans="1:4" x14ac:dyDescent="0.45">
      <c r="A1493" t="s">
        <v>1495</v>
      </c>
      <c r="B1493">
        <v>34.069793599999997</v>
      </c>
      <c r="C1493">
        <v>-118.04330880000001</v>
      </c>
      <c r="D1493" t="str">
        <f>HYPERLINK("https://streetviewpixels-pa.googleapis.com/v1/thumbnail?panoid=uksb19KLfNFuL42MhJltOw&amp;cb_client=search.gws-prod.gps&amp;w=408&amp;h=240&amp;yaw=18.401623&amp;pitch=0&amp;thumbfov=100", "link")</f>
        <v>link</v>
      </c>
    </row>
    <row r="1494" spans="1:4" x14ac:dyDescent="0.45">
      <c r="A1494" t="s">
        <v>1496</v>
      </c>
      <c r="B1494">
        <v>34.072036400000002</v>
      </c>
      <c r="C1494">
        <v>-118.04396269999999</v>
      </c>
      <c r="D1494" t="str">
        <f>HYPERLINK("https://streetviewpixels-pa.googleapis.com/v1/thumbnail?panoid=6txqC-H8I5KS1DtPt-7gzA&amp;cb_client=search.gws-prod.gps&amp;w=408&amp;h=240&amp;yaw=0.42489195&amp;pitch=0&amp;thumbfov=100", "link")</f>
        <v>link</v>
      </c>
    </row>
    <row r="1495" spans="1:4" x14ac:dyDescent="0.45">
      <c r="A1495" t="s">
        <v>1497</v>
      </c>
      <c r="B1495">
        <v>34.085039100000003</v>
      </c>
      <c r="C1495">
        <v>-118.03200390000001</v>
      </c>
      <c r="D1495" t="str">
        <f>HYPERLINK("https://lh5.googleusercontent.com/p/AF1QipMHQt86b0nx2mcpJ64wQPvJbf0a8aNGgnxAbjV_=w408-h306-k-no", "link")</f>
        <v>link</v>
      </c>
    </row>
    <row r="1496" spans="1:4" x14ac:dyDescent="0.45">
      <c r="A1496" t="s">
        <v>1498</v>
      </c>
      <c r="B1496">
        <v>34.068579700000001</v>
      </c>
      <c r="C1496">
        <v>-118.062613</v>
      </c>
      <c r="D1496" t="str">
        <f>HYPERLINK("https://streetviewpixels-pa.googleapis.com/v1/thumbnail?panoid=gU7jQhcZoXHD-S2fVY_TnQ&amp;cb_client=search.gws-prod.gps&amp;w=408&amp;h=240&amp;yaw=184.2999&amp;pitch=0&amp;thumbfov=100", "link")</f>
        <v>link</v>
      </c>
    </row>
    <row r="1497" spans="1:4" x14ac:dyDescent="0.45">
      <c r="A1497" t="s">
        <v>1499</v>
      </c>
      <c r="B1497">
        <v>34.050296500000002</v>
      </c>
      <c r="C1497">
        <v>-118.00200289999999</v>
      </c>
      <c r="D1497" t="s">
        <v>5</v>
      </c>
    </row>
    <row r="1498" spans="1:4" x14ac:dyDescent="0.45">
      <c r="A1498" t="s">
        <v>1500</v>
      </c>
      <c r="B1498">
        <v>34.079377600000001</v>
      </c>
      <c r="C1498">
        <v>-118.0845595</v>
      </c>
      <c r="D1498" t="s">
        <v>5</v>
      </c>
    </row>
    <row r="1499" spans="1:4" x14ac:dyDescent="0.45">
      <c r="A1499" t="s">
        <v>1501</v>
      </c>
      <c r="B1499">
        <v>33.992001199999997</v>
      </c>
      <c r="C1499">
        <v>-118.0580358</v>
      </c>
      <c r="D1499" t="s">
        <v>5</v>
      </c>
    </row>
    <row r="1500" spans="1:4" x14ac:dyDescent="0.45">
      <c r="A1500" t="s">
        <v>1502</v>
      </c>
      <c r="B1500">
        <v>34.080478800000002</v>
      </c>
      <c r="C1500">
        <v>-118.08664640000001</v>
      </c>
      <c r="D1500" t="str">
        <f>HYPERLINK("https://streetviewpixels-pa.googleapis.com/v1/thumbnail?panoid=UwyKyuDIbPspSUAptHOSkw&amp;cb_client=search.gws-prod.gps&amp;w=408&amp;h=240&amp;yaw=41.412354&amp;pitch=0&amp;thumbfov=100", "link")</f>
        <v>link</v>
      </c>
    </row>
    <row r="1501" spans="1:4" x14ac:dyDescent="0.45">
      <c r="A1501" t="s">
        <v>1503</v>
      </c>
      <c r="B1501">
        <v>33.990894400000002</v>
      </c>
      <c r="C1501">
        <v>-118.05602349999999</v>
      </c>
      <c r="D1501" t="s">
        <v>5</v>
      </c>
    </row>
    <row r="1502" spans="1:4" x14ac:dyDescent="0.45">
      <c r="A1502" t="s">
        <v>1504</v>
      </c>
      <c r="B1502">
        <v>34.092716699999997</v>
      </c>
      <c r="C1502">
        <v>-118.0830962</v>
      </c>
      <c r="D1502" t="s">
        <v>5</v>
      </c>
    </row>
    <row r="1503" spans="1:4" x14ac:dyDescent="0.45">
      <c r="A1503" t="s">
        <v>1505</v>
      </c>
      <c r="B1503">
        <v>34.061598199999999</v>
      </c>
      <c r="C1503">
        <v>-118.12333169999999</v>
      </c>
      <c r="D1503" t="s">
        <v>5</v>
      </c>
    </row>
    <row r="1504" spans="1:4" x14ac:dyDescent="0.45">
      <c r="A1504" t="s">
        <v>1506</v>
      </c>
      <c r="B1504">
        <v>34.061691799999998</v>
      </c>
      <c r="C1504">
        <v>-118.124246</v>
      </c>
      <c r="D1504" t="s">
        <v>5</v>
      </c>
    </row>
    <row r="1505" spans="1:4" x14ac:dyDescent="0.45">
      <c r="A1505" t="s">
        <v>1507</v>
      </c>
      <c r="B1505">
        <v>33.9801614</v>
      </c>
      <c r="C1505">
        <v>-118.0387305</v>
      </c>
      <c r="D1505" t="str">
        <f>HYPERLINK("https://streetviewpixels-pa.googleapis.com/v1/thumbnail?panoid=pa5duMDrBdEFju8lTor9sA&amp;cb_client=search.gws-prod.gps&amp;w=408&amp;h=240&amp;yaw=277.48215&amp;pitch=0&amp;thumbfov=100", "link")</f>
        <v>link</v>
      </c>
    </row>
    <row r="1506" spans="1:4" x14ac:dyDescent="0.45">
      <c r="A1506" t="s">
        <v>1508</v>
      </c>
      <c r="B1506">
        <v>34.039395900000002</v>
      </c>
      <c r="C1506">
        <v>-118.05586340000001</v>
      </c>
      <c r="D1506" t="str">
        <f>HYPERLINK("https://lh5.googleusercontent.com/p/AF1QipM-CgwASyqr3n7h2rs63RxyQQ1b3fWQ3H8N8-HH=w408-h1269-k-no", "link")</f>
        <v>link</v>
      </c>
    </row>
    <row r="1507" spans="1:4" x14ac:dyDescent="0.45">
      <c r="A1507" t="s">
        <v>1509</v>
      </c>
      <c r="B1507">
        <v>34.039616700000003</v>
      </c>
      <c r="C1507">
        <v>-118.0554747</v>
      </c>
      <c r="D1507" t="s">
        <v>5</v>
      </c>
    </row>
    <row r="1508" spans="1:4" x14ac:dyDescent="0.45">
      <c r="A1508" t="s">
        <v>1510</v>
      </c>
      <c r="B1508">
        <v>34.036262399999998</v>
      </c>
      <c r="C1508">
        <v>-118.0557491</v>
      </c>
      <c r="D1508" t="s">
        <v>5</v>
      </c>
    </row>
    <row r="1509" spans="1:4" x14ac:dyDescent="0.45">
      <c r="A1509" t="s">
        <v>1511</v>
      </c>
      <c r="B1509">
        <v>34.036274200000001</v>
      </c>
      <c r="C1509">
        <v>-118.05547439999999</v>
      </c>
      <c r="D1509" t="s">
        <v>5</v>
      </c>
    </row>
    <row r="1510" spans="1:4" x14ac:dyDescent="0.45">
      <c r="A1510" t="s">
        <v>1512</v>
      </c>
      <c r="B1510">
        <v>34.037629699999997</v>
      </c>
      <c r="C1510">
        <v>-118.0638198</v>
      </c>
      <c r="D1510" t="str">
        <f>HYPERLINK("https://lh5.googleusercontent.com/p/AF1QipOfaWDbcLbNCamXwN2CpOw0cfx_MPsCBknbuIaO=w426-h240-k-no", "link")</f>
        <v>link</v>
      </c>
    </row>
    <row r="1511" spans="1:4" x14ac:dyDescent="0.45">
      <c r="A1511" t="s">
        <v>1513</v>
      </c>
      <c r="B1511">
        <v>34.018748799999997</v>
      </c>
      <c r="C1511">
        <v>-118.0319937</v>
      </c>
      <c r="D1511" t="str">
        <f>HYPERLINK("https://streetviewpixels-pa.googleapis.com/v1/thumbnail?panoid=tXoOsRhSTTcUCF6oO65dsQ&amp;cb_client=search.gws-prod.gps&amp;w=408&amp;h=240&amp;yaw=301.92078&amp;pitch=0&amp;thumbfov=100", "link")</f>
        <v>link</v>
      </c>
    </row>
    <row r="1512" spans="1:4" x14ac:dyDescent="0.45">
      <c r="A1512" t="s">
        <v>1514</v>
      </c>
      <c r="B1512">
        <v>34.0194191</v>
      </c>
      <c r="C1512">
        <v>-118.0302191</v>
      </c>
      <c r="D1512" t="s">
        <v>5</v>
      </c>
    </row>
    <row r="1513" spans="1:4" x14ac:dyDescent="0.45">
      <c r="A1513" t="s">
        <v>1515</v>
      </c>
      <c r="B1513">
        <v>34.058831300000001</v>
      </c>
      <c r="C1513">
        <v>-118.0904008</v>
      </c>
      <c r="D1513" t="str">
        <f>HYPERLINK("https://streetviewpixels-pa.googleapis.com/v1/thumbnail?panoid=maCNGsPczFfqgpprwNM_aA&amp;cb_client=search.gws-prod.gps&amp;w=408&amp;h=240&amp;yaw=83.33823&amp;pitch=0&amp;thumbfov=100", "link")</f>
        <v>link</v>
      </c>
    </row>
    <row r="1514" spans="1:4" x14ac:dyDescent="0.45">
      <c r="A1514" t="s">
        <v>1516</v>
      </c>
      <c r="B1514">
        <v>34.030194100000003</v>
      </c>
      <c r="C1514">
        <v>-118.0154373</v>
      </c>
      <c r="D1514" t="str">
        <f>HYPERLINK("https://streetviewpixels-pa.googleapis.com/v1/thumbnail?panoid=2EXpBvEuDQcpmII6Z6jLAw&amp;cb_client=search.gws-prod.gps&amp;w=408&amp;h=240&amp;yaw=65.010254&amp;pitch=0&amp;thumbfov=100", "link")</f>
        <v>link</v>
      </c>
    </row>
    <row r="1515" spans="1:4" x14ac:dyDescent="0.45">
      <c r="A1515" t="s">
        <v>1517</v>
      </c>
      <c r="B1515">
        <v>34.037021199999998</v>
      </c>
      <c r="C1515">
        <v>-118.0996766</v>
      </c>
      <c r="D1515" t="s">
        <v>5</v>
      </c>
    </row>
    <row r="1516" spans="1:4" x14ac:dyDescent="0.45">
      <c r="A1516" t="s">
        <v>1518</v>
      </c>
      <c r="B1516">
        <v>34.056891399999998</v>
      </c>
      <c r="C1516">
        <v>-118.1268061</v>
      </c>
      <c r="D1516" t="s">
        <v>5</v>
      </c>
    </row>
    <row r="1517" spans="1:4" x14ac:dyDescent="0.45">
      <c r="A1517" t="s">
        <v>1519</v>
      </c>
      <c r="B1517">
        <v>33.979832000000002</v>
      </c>
      <c r="C1517">
        <v>-118.038256</v>
      </c>
      <c r="D1517" t="str">
        <f>HYPERLINK("https://streetviewpixels-pa.googleapis.com/v1/thumbnail?panoid=DYJAIeusrRIz_oGdA_cqow&amp;cb_client=search.gws-prod.gps&amp;w=408&amp;h=240&amp;yaw=299.10956&amp;pitch=0&amp;thumbfov=100", "link")</f>
        <v>link</v>
      </c>
    </row>
    <row r="1518" spans="1:4" x14ac:dyDescent="0.45">
      <c r="A1518" t="s">
        <v>1520</v>
      </c>
      <c r="B1518">
        <v>33.978767300000001</v>
      </c>
      <c r="C1518">
        <v>-118.0364794</v>
      </c>
      <c r="D1518" t="str">
        <f>HYPERLINK("https://lh5.googleusercontent.com/p/AF1QipMxy9Or2G5wPUQLh_kkCw7P_D3J6i577Uzo8oDV=w408-h306-k-no", "link")</f>
        <v>link</v>
      </c>
    </row>
    <row r="1519" spans="1:4" x14ac:dyDescent="0.45">
      <c r="A1519" t="s">
        <v>1521</v>
      </c>
      <c r="B1519">
        <v>33.979444000000001</v>
      </c>
      <c r="C1519">
        <v>-118.0780208</v>
      </c>
      <c r="D1519" t="str">
        <f>HYPERLINK("https://streetviewpixels-pa.googleapis.com/v1/thumbnail?panoid=KsucshXBaOJ8ZW1VHy9RgA&amp;cb_client=search.gws-prod.gps&amp;w=408&amp;h=240&amp;yaw=116.27171&amp;pitch=0&amp;thumbfov=100", "link")</f>
        <v>link</v>
      </c>
    </row>
    <row r="1520" spans="1:4" x14ac:dyDescent="0.45">
      <c r="A1520" t="s">
        <v>1522</v>
      </c>
      <c r="B1520">
        <v>33.9787301</v>
      </c>
      <c r="C1520">
        <v>-118.031874</v>
      </c>
      <c r="D1520" t="s">
        <v>5</v>
      </c>
    </row>
    <row r="1521" spans="1:4" x14ac:dyDescent="0.45">
      <c r="A1521" t="s">
        <v>1523</v>
      </c>
      <c r="B1521">
        <v>33.915930799999899</v>
      </c>
      <c r="C1521">
        <v>-118.3858421</v>
      </c>
      <c r="D1521" t="str">
        <f>HYPERLINK("https://streetviewpixels-pa.googleapis.com/v1/thumbnail?panoid=HJ4tA-nTzm-FG-QEY2B9tg&amp;cb_client=search.gws-prod.gps&amp;w=408&amp;h=240&amp;yaw=238.41273&amp;pitch=0&amp;thumbfov=100", "link")</f>
        <v>link</v>
      </c>
    </row>
    <row r="1522" spans="1:4" x14ac:dyDescent="0.45">
      <c r="A1522" t="s">
        <v>1524</v>
      </c>
      <c r="B1522">
        <v>33.926143699999997</v>
      </c>
      <c r="C1522">
        <v>-118.3865335</v>
      </c>
      <c r="D1522" t="s">
        <v>5</v>
      </c>
    </row>
    <row r="1523" spans="1:4" x14ac:dyDescent="0.45">
      <c r="A1523" t="s">
        <v>1525</v>
      </c>
      <c r="B1523">
        <v>33.9182731</v>
      </c>
      <c r="C1523">
        <v>-118.4068801</v>
      </c>
      <c r="D1523" t="str">
        <f>HYPERLINK("https://streetviewpixels-pa.googleapis.com/v1/thumbnail?panoid=wIDhcmiKgonrTes-iqBdVw&amp;cb_client=search.gws-prod.gps&amp;w=408&amp;h=240&amp;yaw=236.08266&amp;pitch=0&amp;thumbfov=100", "link")</f>
        <v>link</v>
      </c>
    </row>
    <row r="1524" spans="1:4" x14ac:dyDescent="0.45">
      <c r="A1524" t="s">
        <v>1526</v>
      </c>
      <c r="B1524">
        <v>33.9305331999999</v>
      </c>
      <c r="C1524">
        <v>-118.40032840000001</v>
      </c>
      <c r="D1524" t="str">
        <f>HYPERLINK("https://streetviewpixels-pa.googleapis.com/v1/thumbnail?panoid=0cwP4HPg80V1-J3N4YAbAQ&amp;cb_client=search.gws-prod.gps&amp;w=408&amp;h=240&amp;yaw=207.34814&amp;pitch=0&amp;thumbfov=100", "link")</f>
        <v>link</v>
      </c>
    </row>
    <row r="1525" spans="1:4" x14ac:dyDescent="0.45">
      <c r="A1525" t="s">
        <v>1527</v>
      </c>
      <c r="B1525">
        <v>33.929815699999999</v>
      </c>
      <c r="C1525">
        <v>-118.3863885</v>
      </c>
      <c r="D1525" t="str">
        <f>HYPERLINK("https://streetviewpixels-pa.googleapis.com/v1/thumbnail?panoid=z-vX5dKCrbqvYBujHWmw1g&amp;cb_client=search.gws-prod.gps&amp;w=408&amp;h=240&amp;yaw=244.17046&amp;pitch=0&amp;thumbfov=100", "link")</f>
        <v>link</v>
      </c>
    </row>
    <row r="1526" spans="1:4" x14ac:dyDescent="0.45">
      <c r="A1526" t="s">
        <v>1528</v>
      </c>
      <c r="B1526">
        <v>33.9307485</v>
      </c>
      <c r="C1526">
        <v>-118.4022494</v>
      </c>
      <c r="D1526" t="str">
        <f>HYPERLINK("https://streetviewpixels-pa.googleapis.com/v1/thumbnail?panoid=QjJWppGSMEsWhuDjKImYCQ&amp;cb_client=search.gws-prod.gps&amp;w=408&amp;h=240&amp;yaw=345.07425&amp;pitch=0&amp;thumbfov=100", "link")</f>
        <v>link</v>
      </c>
    </row>
    <row r="1527" spans="1:4" x14ac:dyDescent="0.45">
      <c r="A1527" t="s">
        <v>1529</v>
      </c>
      <c r="B1527">
        <v>33.927662599999998</v>
      </c>
      <c r="C1527">
        <v>-118.38232979999999</v>
      </c>
      <c r="D1527" t="s">
        <v>5</v>
      </c>
    </row>
    <row r="1528" spans="1:4" x14ac:dyDescent="0.45">
      <c r="A1528" t="s">
        <v>1530</v>
      </c>
      <c r="B1528">
        <v>33.9305041</v>
      </c>
      <c r="C1528">
        <v>-118.38424790000001</v>
      </c>
      <c r="D1528" t="str">
        <f>HYPERLINK("https://streetviewpixels-pa.googleapis.com/v1/thumbnail?panoid=DHCzOxQzUxhPl6OcMOLA8g&amp;cb_client=search.gws-prod.gps&amp;w=408&amp;h=240&amp;yaw=346.8204&amp;pitch=0&amp;thumbfov=100", "link")</f>
        <v>link</v>
      </c>
    </row>
    <row r="1529" spans="1:4" x14ac:dyDescent="0.45">
      <c r="A1529" t="s">
        <v>1531</v>
      </c>
      <c r="B1529">
        <v>33.921952500000003</v>
      </c>
      <c r="C1529">
        <v>-118.41110740000001</v>
      </c>
      <c r="D1529" t="s">
        <v>5</v>
      </c>
    </row>
    <row r="1530" spans="1:4" x14ac:dyDescent="0.45">
      <c r="A1530" t="s">
        <v>1532</v>
      </c>
      <c r="B1530">
        <v>33.922235800000003</v>
      </c>
      <c r="C1530">
        <v>-118.37868659999999</v>
      </c>
      <c r="D1530" t="str">
        <f>HYPERLINK("https://streetviewpixels-pa.googleapis.com/v1/thumbnail?panoid=rUXK01ez-68bYQnt9P916g&amp;cb_client=search.gws-prod.gps&amp;w=408&amp;h=240&amp;yaw=262.5406&amp;pitch=0&amp;thumbfov=100", "link")</f>
        <v>link</v>
      </c>
    </row>
    <row r="1531" spans="1:4" x14ac:dyDescent="0.45">
      <c r="A1531" t="s">
        <v>1533</v>
      </c>
      <c r="B1531">
        <v>33.924784000000002</v>
      </c>
      <c r="C1531">
        <v>-118.4124309</v>
      </c>
      <c r="D1531" t="s">
        <v>5</v>
      </c>
    </row>
    <row r="1532" spans="1:4" x14ac:dyDescent="0.45">
      <c r="A1532" t="s">
        <v>1534</v>
      </c>
      <c r="B1532">
        <v>33.9056523</v>
      </c>
      <c r="C1532">
        <v>-118.3870402</v>
      </c>
      <c r="D1532" t="str">
        <f>HYPERLINK("https://streetviewpixels-pa.googleapis.com/v1/thumbnail?panoid=2r2zn2u-bnQTp9BMAuHhyw&amp;cb_client=search.gws-prod.gps&amp;w=408&amp;h=240&amp;yaw=334.48303&amp;pitch=0&amp;thumbfov=100", "link")</f>
        <v>link</v>
      </c>
    </row>
    <row r="1533" spans="1:4" x14ac:dyDescent="0.45">
      <c r="A1533" t="s">
        <v>1535</v>
      </c>
      <c r="B1533">
        <v>33.924172200000001</v>
      </c>
      <c r="C1533">
        <v>-118.41439339999999</v>
      </c>
      <c r="D1533" t="s">
        <v>5</v>
      </c>
    </row>
    <row r="1534" spans="1:4" x14ac:dyDescent="0.45">
      <c r="A1534" t="s">
        <v>1536</v>
      </c>
      <c r="B1534">
        <v>33.906759399999999</v>
      </c>
      <c r="C1534">
        <v>-118.3833755</v>
      </c>
      <c r="D1534" t="str">
        <f>HYPERLINK("https://streetviewpixels-pa.googleapis.com/v1/thumbnail?panoid=0WzLwJzK5s_hMTyB813P8g&amp;cb_client=search.gws-prod.gps&amp;w=408&amp;h=240&amp;yaw=210.20818&amp;pitch=0&amp;thumbfov=100", "link")</f>
        <v>link</v>
      </c>
    </row>
    <row r="1535" spans="1:4" x14ac:dyDescent="0.45">
      <c r="A1535" t="s">
        <v>1537</v>
      </c>
      <c r="B1535">
        <v>33.904256199999999</v>
      </c>
      <c r="C1535">
        <v>-118.3890162</v>
      </c>
      <c r="D1535" t="s">
        <v>5</v>
      </c>
    </row>
    <row r="1536" spans="1:4" x14ac:dyDescent="0.45">
      <c r="A1536" t="s">
        <v>1538</v>
      </c>
      <c r="B1536">
        <v>33.923406700000001</v>
      </c>
      <c r="C1536">
        <v>-118.4163349</v>
      </c>
      <c r="D1536" t="str">
        <f>HYPERLINK("https://streetviewpixels-pa.googleapis.com/v1/thumbnail?panoid=wzw5owhsNrksHOLcNK6t9Q&amp;cb_client=search.gws-prod.gps&amp;w=408&amp;h=240&amp;yaw=184.3779&amp;pitch=0&amp;thumbfov=100", "link")</f>
        <v>link</v>
      </c>
    </row>
    <row r="1537" spans="1:4" x14ac:dyDescent="0.45">
      <c r="A1537" t="s">
        <v>1539</v>
      </c>
      <c r="B1537">
        <v>33.903053800000002</v>
      </c>
      <c r="C1537">
        <v>-118.3867207</v>
      </c>
      <c r="D1537" t="str">
        <f>HYPERLINK("https://streetviewpixels-pa.googleapis.com/v1/thumbnail?panoid=7WJ3nRkJqprfzi5qM586qw&amp;cb_client=search.gws-prod.gps&amp;w=408&amp;h=240&amp;yaw=277.29138&amp;pitch=0&amp;thumbfov=100", "link")</f>
        <v>link</v>
      </c>
    </row>
    <row r="1538" spans="1:4" x14ac:dyDescent="0.45">
      <c r="A1538" t="s">
        <v>1540</v>
      </c>
      <c r="B1538">
        <v>33.903530000000003</v>
      </c>
      <c r="C1538">
        <v>-118.384378</v>
      </c>
      <c r="D1538" t="str">
        <f>HYPERLINK("https://streetviewpixels-pa.googleapis.com/v1/thumbnail?panoid=AQGye_T-HMTsY2gV2JKpTA&amp;cb_client=search.gws-prod.gps&amp;w=408&amp;h=240&amp;yaw=332.77792&amp;pitch=0&amp;thumbfov=100", "link")</f>
        <v>link</v>
      </c>
    </row>
    <row r="1539" spans="1:4" x14ac:dyDescent="0.45">
      <c r="A1539" t="s">
        <v>1541</v>
      </c>
      <c r="B1539">
        <v>33.928655900000003</v>
      </c>
      <c r="C1539">
        <v>-118.37376980000001</v>
      </c>
      <c r="D1539" t="s">
        <v>5</v>
      </c>
    </row>
    <row r="1540" spans="1:4" x14ac:dyDescent="0.45">
      <c r="A1540" t="s">
        <v>1542</v>
      </c>
      <c r="B1540">
        <v>33.916230900000002</v>
      </c>
      <c r="C1540">
        <v>-118.371647</v>
      </c>
      <c r="D1540" t="s">
        <v>5</v>
      </c>
    </row>
    <row r="1541" spans="1:4" x14ac:dyDescent="0.45">
      <c r="A1541" t="s">
        <v>1543</v>
      </c>
      <c r="B1541">
        <v>33.920440200000002</v>
      </c>
      <c r="C1541">
        <v>-118.3949077</v>
      </c>
      <c r="D1541" t="s">
        <v>5</v>
      </c>
    </row>
    <row r="1542" spans="1:4" x14ac:dyDescent="0.45">
      <c r="A1542" t="s">
        <v>1544</v>
      </c>
      <c r="B1542">
        <v>33.920209100000001</v>
      </c>
      <c r="C1542">
        <v>-118.394778</v>
      </c>
      <c r="D1542" t="s">
        <v>5</v>
      </c>
    </row>
    <row r="1543" spans="1:4" x14ac:dyDescent="0.45">
      <c r="A1543" t="s">
        <v>1545</v>
      </c>
      <c r="B1543">
        <v>33.918820099999998</v>
      </c>
      <c r="C1543">
        <v>-118.39415030000001</v>
      </c>
      <c r="D1543" t="s">
        <v>5</v>
      </c>
    </row>
    <row r="1544" spans="1:4" x14ac:dyDescent="0.45">
      <c r="A1544" t="s">
        <v>1546</v>
      </c>
      <c r="B1544">
        <v>33.918254999999903</v>
      </c>
      <c r="C1544">
        <v>-118.39531839999999</v>
      </c>
      <c r="D1544" t="s">
        <v>5</v>
      </c>
    </row>
    <row r="1545" spans="1:4" x14ac:dyDescent="0.45">
      <c r="A1545" t="s">
        <v>1547</v>
      </c>
      <c r="B1545">
        <v>33.920559300000001</v>
      </c>
      <c r="C1545">
        <v>-118.3976431</v>
      </c>
      <c r="D1545" t="str">
        <f>HYPERLINK("https://streetviewpixels-pa.googleapis.com/v1/thumbnail?panoid=bk-RyPGV-z_3_KZrGjQQ9g&amp;cb_client=search.gws-prod.gps&amp;w=408&amp;h=240&amp;yaw=190.90718&amp;pitch=0&amp;thumbfov=100", "link")</f>
        <v>link</v>
      </c>
    </row>
    <row r="1546" spans="1:4" x14ac:dyDescent="0.45">
      <c r="A1546" t="s">
        <v>1548</v>
      </c>
      <c r="B1546">
        <v>33.922443800000003</v>
      </c>
      <c r="C1546">
        <v>-118.3965348</v>
      </c>
      <c r="D1546" t="str">
        <f>HYPERLINK("https://streetviewpixels-pa.googleapis.com/v1/thumbnail?panoid=QxxHE3O1TPA3ZzJdtN-cNg&amp;cb_client=search.gws-prod.gps&amp;w=408&amp;h=240&amp;yaw=302.31036&amp;pitch=0&amp;thumbfov=100", "link")</f>
        <v>link</v>
      </c>
    </row>
    <row r="1547" spans="1:4" x14ac:dyDescent="0.45">
      <c r="A1547" t="s">
        <v>1549</v>
      </c>
      <c r="B1547">
        <v>33.9230363</v>
      </c>
      <c r="C1547">
        <v>-118.3913759</v>
      </c>
      <c r="D1547" t="str">
        <f>HYPERLINK("https://streetviewpixels-pa.googleapis.com/v1/thumbnail?panoid=uLEtqyg3lOO3pH0o19He2g&amp;cb_client=search.gws-prod.gps&amp;w=408&amp;h=240&amp;yaw=83.02982&amp;pitch=0&amp;thumbfov=100", "link")</f>
        <v>link</v>
      </c>
    </row>
    <row r="1548" spans="1:4" x14ac:dyDescent="0.45">
      <c r="A1548" t="s">
        <v>1550</v>
      </c>
      <c r="B1548">
        <v>33.920889500000001</v>
      </c>
      <c r="C1548">
        <v>-118.3901108</v>
      </c>
      <c r="D1548" t="str">
        <f>HYPERLINK("https://streetviewpixels-pa.googleapis.com/v1/thumbnail?panoid=qlYR2Vu16Cjfca6ew5WjsQ&amp;cb_client=search.gws-prod.gps&amp;w=408&amp;h=240&amp;yaw=85.44265&amp;pitch=0&amp;thumbfov=100", "link")</f>
        <v>link</v>
      </c>
    </row>
    <row r="1549" spans="1:4" x14ac:dyDescent="0.45">
      <c r="A1549" t="s">
        <v>1551</v>
      </c>
      <c r="B1549">
        <v>33.921443500000002</v>
      </c>
      <c r="C1549">
        <v>-118.39011170000001</v>
      </c>
      <c r="D1549" t="s">
        <v>5</v>
      </c>
    </row>
    <row r="1550" spans="1:4" x14ac:dyDescent="0.45">
      <c r="A1550" t="s">
        <v>1552</v>
      </c>
      <c r="B1550">
        <v>33.916770200000002</v>
      </c>
      <c r="C1550">
        <v>-118.3971701</v>
      </c>
      <c r="D1550" t="s">
        <v>5</v>
      </c>
    </row>
    <row r="1551" spans="1:4" x14ac:dyDescent="0.45">
      <c r="A1551" t="s">
        <v>1553</v>
      </c>
      <c r="B1551">
        <v>33.9233859</v>
      </c>
      <c r="C1551">
        <v>-118.3886337</v>
      </c>
      <c r="D1551" t="str">
        <f>HYPERLINK("https://streetviewpixels-pa.googleapis.com/v1/thumbnail?panoid=OIDbgRfC-CTrZRvX_UlHwQ&amp;cb_client=search.gws-prod.gps&amp;w=408&amp;h=240&amp;yaw=277.85468&amp;pitch=0&amp;thumbfov=100", "link")</f>
        <v>link</v>
      </c>
    </row>
    <row r="1552" spans="1:4" x14ac:dyDescent="0.45">
      <c r="A1552" t="s">
        <v>1554</v>
      </c>
      <c r="B1552">
        <v>33.926478099999997</v>
      </c>
      <c r="C1552">
        <v>-118.3956683</v>
      </c>
      <c r="D1552" t="str">
        <f>HYPERLINK("https://streetviewpixels-pa.googleapis.com/v1/thumbnail?panoid=0GUazFyaQOpjVzKUS73Mig&amp;cb_client=search.gws-prod.gps&amp;w=408&amp;h=240&amp;yaw=181.48549&amp;pitch=0&amp;thumbfov=100", "link")</f>
        <v>link</v>
      </c>
    </row>
    <row r="1553" spans="1:4" x14ac:dyDescent="0.45">
      <c r="A1553" t="s">
        <v>1555</v>
      </c>
      <c r="B1553">
        <v>33.9177167</v>
      </c>
      <c r="C1553">
        <v>-118.38826450000001</v>
      </c>
      <c r="D1553" t="str">
        <f>HYPERLINK("https://streetviewpixels-pa.googleapis.com/v1/thumbnail?panoid=IXLVbMxkqVdUnFsCjZVV2A&amp;cb_client=search.gws-prod.gps&amp;w=408&amp;h=240&amp;yaw=268.5946&amp;pitch=0&amp;thumbfov=100", "link")</f>
        <v>link</v>
      </c>
    </row>
    <row r="1554" spans="1:4" x14ac:dyDescent="0.45">
      <c r="A1554" t="s">
        <v>1556</v>
      </c>
      <c r="B1554">
        <v>33.919248600000003</v>
      </c>
      <c r="C1554">
        <v>-118.40449820000001</v>
      </c>
      <c r="D1554" t="str">
        <f>HYPERLINK("https://streetviewpixels-pa.googleapis.com/v1/thumbnail?panoid=8bdbeEK4WXNHDfD76ulSAQ&amp;cb_client=search.gws-prod.gps&amp;w=408&amp;h=240&amp;yaw=120.03703&amp;pitch=0&amp;thumbfov=100", "link")</f>
        <v>link</v>
      </c>
    </row>
    <row r="1555" spans="1:4" x14ac:dyDescent="0.45">
      <c r="A1555" t="s">
        <v>1557</v>
      </c>
      <c r="B1555">
        <v>33.917170200000001</v>
      </c>
      <c r="C1555">
        <v>-118.4039887</v>
      </c>
      <c r="D1555" t="str">
        <f>HYPERLINK("https://streetviewpixels-pa.googleapis.com/v1/thumbnail?panoid=9BAAB-2Mtg5qLB7TLWlcYA&amp;cb_client=search.gws-prod.gps&amp;w=408&amp;h=240&amp;yaw=263.4193&amp;pitch=0&amp;thumbfov=100", "link")</f>
        <v>link</v>
      </c>
    </row>
    <row r="1556" spans="1:4" x14ac:dyDescent="0.45">
      <c r="A1556" t="s">
        <v>1558</v>
      </c>
      <c r="B1556">
        <v>33.928353999999899</v>
      </c>
      <c r="C1556">
        <v>-118.39773409999999</v>
      </c>
      <c r="D1556" t="str">
        <f>HYPERLINK("https://streetviewpixels-pa.googleapis.com/v1/thumbnail?panoid=Fcf1__A3ifTtCDtVE5G2tg&amp;cb_client=search.gws-prod.gps&amp;w=408&amp;h=240&amp;yaw=8.790362&amp;pitch=0&amp;thumbfov=100", "link")</f>
        <v>link</v>
      </c>
    </row>
    <row r="1557" spans="1:4" x14ac:dyDescent="0.45">
      <c r="A1557" t="s">
        <v>1559</v>
      </c>
      <c r="B1557">
        <v>33.915759899999998</v>
      </c>
      <c r="C1557">
        <v>-118.3862611</v>
      </c>
      <c r="D1557" t="s">
        <v>5</v>
      </c>
    </row>
    <row r="1558" spans="1:4" x14ac:dyDescent="0.45">
      <c r="A1558" t="s">
        <v>1560</v>
      </c>
      <c r="B1558">
        <v>33.929061899999901</v>
      </c>
      <c r="C1558">
        <v>-118.3957824</v>
      </c>
      <c r="D1558" t="str">
        <f>HYPERLINK("https://lh5.googleusercontent.com/p/AF1QipNbKG8r52k9vQY44qdFlp_qjks4aH1-6jqLHaMM=w408-h306-k-no", "link")</f>
        <v>link</v>
      </c>
    </row>
    <row r="1559" spans="1:4" x14ac:dyDescent="0.45">
      <c r="A1559" t="s">
        <v>1561</v>
      </c>
      <c r="B1559">
        <v>33.915945100000002</v>
      </c>
      <c r="C1559">
        <v>-118.3858702</v>
      </c>
      <c r="D1559" t="str">
        <f>HYPERLINK("https://streetviewpixels-pa.googleapis.com/v1/thumbnail?panoid=HJ4tA-nTzm-FG-QEY2B9tg&amp;cb_client=search.gws-prod.gps&amp;w=408&amp;h=240&amp;yaw=255.35263&amp;pitch=0&amp;thumbfov=100", "link")</f>
        <v>link</v>
      </c>
    </row>
    <row r="1560" spans="1:4" x14ac:dyDescent="0.45">
      <c r="A1560" t="s">
        <v>1562</v>
      </c>
      <c r="B1560">
        <v>33.942072400000001</v>
      </c>
      <c r="C1560">
        <v>-118.40211069999999</v>
      </c>
      <c r="D1560" t="str">
        <f>HYPERLINK("https://streetviewpixels-pa.googleapis.com/v1/thumbnail?panoid=HvXNEDeO1DolhVlFLtezpw&amp;cb_client=search.gws-prod.gps&amp;w=408&amp;h=240&amp;yaw=145.56943&amp;pitch=0&amp;thumbfov=100", "link")</f>
        <v>link</v>
      </c>
    </row>
    <row r="1561" spans="1:4" x14ac:dyDescent="0.45">
      <c r="A1561" t="s">
        <v>1563</v>
      </c>
      <c r="B1561">
        <v>33.943832800000003</v>
      </c>
      <c r="C1561">
        <v>-118.4001066</v>
      </c>
      <c r="D1561" t="str">
        <f>HYPERLINK("https://lh5.googleusercontent.com/p/AF1QipOJf8SDNCnS1PEBH3Gcu_f4ZagQOaRd638o3Zjt=w408-h306-k-no", "link")</f>
        <v>link</v>
      </c>
    </row>
    <row r="1562" spans="1:4" x14ac:dyDescent="0.45">
      <c r="A1562" t="s">
        <v>1564</v>
      </c>
      <c r="B1562">
        <v>33.943856699999998</v>
      </c>
      <c r="C1562">
        <v>-118.40006219999999</v>
      </c>
      <c r="D1562" t="s">
        <v>5</v>
      </c>
    </row>
    <row r="1563" spans="1:4" x14ac:dyDescent="0.45">
      <c r="A1563" t="s">
        <v>1565</v>
      </c>
      <c r="B1563">
        <v>33.943262300000001</v>
      </c>
      <c r="C1563">
        <v>-118.4037136</v>
      </c>
      <c r="D1563" t="str">
        <f>HYPERLINK("https://streetviewpixels-pa.googleapis.com/v1/thumbnail?panoid=uMTm0ihkUe3I_nuAN_O9Fw&amp;cb_client=search.gws-prod.gps&amp;w=408&amp;h=240&amp;yaw=51.846466&amp;pitch=0&amp;thumbfov=100", "link")</f>
        <v>link</v>
      </c>
    </row>
    <row r="1564" spans="1:4" x14ac:dyDescent="0.45">
      <c r="A1564" t="s">
        <v>1566</v>
      </c>
      <c r="B1564">
        <v>33.943393899999997</v>
      </c>
      <c r="C1564">
        <v>-118.40369130000001</v>
      </c>
      <c r="D1564" t="str">
        <f>HYPERLINK("https://streetviewpixels-pa.googleapis.com/v1/thumbnail?panoid=uMTm0ihkUe3I_nuAN_O9Fw&amp;cb_client=search.gws-prod.gps&amp;w=408&amp;h=240&amp;yaw=51.846466&amp;pitch=0&amp;thumbfov=100", "link")</f>
        <v>link</v>
      </c>
    </row>
    <row r="1565" spans="1:4" x14ac:dyDescent="0.45">
      <c r="A1565" t="s">
        <v>1567</v>
      </c>
      <c r="B1565">
        <v>33.943216700000001</v>
      </c>
      <c r="C1565">
        <v>-118.4051741</v>
      </c>
      <c r="D1565" t="str">
        <f>HYPERLINK("https://streetviewpixels-pa.googleapis.com/v1/thumbnail?panoid=_zxRC-sVM1rXk_1ozVEvQw&amp;cb_client=search.gws-prod.gps&amp;w=408&amp;h=240&amp;yaw=50.048656&amp;pitch=0&amp;thumbfov=100", "link")</f>
        <v>link</v>
      </c>
    </row>
    <row r="1566" spans="1:4" x14ac:dyDescent="0.45">
      <c r="A1566" t="s">
        <v>1568</v>
      </c>
      <c r="B1566">
        <v>33.944813000000003</v>
      </c>
      <c r="C1566">
        <v>-118.4006626</v>
      </c>
      <c r="D1566" t="str">
        <f>HYPERLINK("https://lh5.googleusercontent.com/p/AF1QipOJ9OBDSMGsoWPad-p_RqQX4_fOAgejKb42vuEO=w408-h240-k-no-pi-10-ya213.99998-ro0-fo100", "link")</f>
        <v>link</v>
      </c>
    </row>
    <row r="1567" spans="1:4" x14ac:dyDescent="0.45">
      <c r="A1567" t="s">
        <v>1569</v>
      </c>
      <c r="B1567">
        <v>33.944824199999999</v>
      </c>
      <c r="C1567">
        <v>-118.4006469</v>
      </c>
      <c r="D1567" t="str">
        <f>HYPERLINK("https://lh5.googleusercontent.com/p/AF1QipOJ9OBDSMGsoWPad-p_RqQX4_fOAgejKb42vuEO=w408-h240-k-no-pi-10-ya213.99998-ro0-fo100", "link")</f>
        <v>link</v>
      </c>
    </row>
    <row r="1568" spans="1:4" x14ac:dyDescent="0.45">
      <c r="A1568" t="s">
        <v>1570</v>
      </c>
      <c r="B1568">
        <v>33.9003830999999</v>
      </c>
      <c r="C1568">
        <v>-118.39347220000001</v>
      </c>
      <c r="D1568" t="s">
        <v>5</v>
      </c>
    </row>
    <row r="1569" spans="1:4" x14ac:dyDescent="0.45">
      <c r="A1569" t="s">
        <v>1571</v>
      </c>
      <c r="B1569">
        <v>33.901488399999998</v>
      </c>
      <c r="C1569">
        <v>-118.3876368</v>
      </c>
      <c r="D1569" t="str">
        <f>HYPERLINK("https://streetviewpixels-pa.googleapis.com/v1/thumbnail?panoid=dSMGGWB0frCvpVSCv9p_3Q&amp;cb_client=search.gws-prod.gps&amp;w=408&amp;h=240&amp;yaw=31.920092&amp;pitch=0&amp;thumbfov=100", "link")</f>
        <v>link</v>
      </c>
    </row>
    <row r="1570" spans="1:4" x14ac:dyDescent="0.45">
      <c r="A1570" t="s">
        <v>1572</v>
      </c>
      <c r="B1570">
        <v>33.901313299999998</v>
      </c>
      <c r="C1570">
        <v>-118.3876133</v>
      </c>
      <c r="D1570" t="str">
        <f>HYPERLINK("https://streetviewpixels-pa.googleapis.com/v1/thumbnail?panoid=dSMGGWB0frCvpVSCv9p_3Q&amp;cb_client=search.gws-prod.gps&amp;w=408&amp;h=240&amp;yaw=31.920092&amp;pitch=0&amp;thumbfov=100", "link")</f>
        <v>link</v>
      </c>
    </row>
    <row r="1571" spans="1:4" x14ac:dyDescent="0.45">
      <c r="A1571" t="s">
        <v>1573</v>
      </c>
      <c r="B1571">
        <v>33.905257499999998</v>
      </c>
      <c r="C1571">
        <v>-118.4216572</v>
      </c>
      <c r="D1571" t="str">
        <f>HYPERLINK("https://lh5.googleusercontent.com/p/AF1QipPmkBfnycPkzaK6dHTjNAl9TD_hpr5XRFba7NAe=w426-h240-k-no", "link")</f>
        <v>link</v>
      </c>
    </row>
    <row r="1572" spans="1:4" x14ac:dyDescent="0.45">
      <c r="A1572" t="s">
        <v>1574</v>
      </c>
      <c r="B1572">
        <v>33.932955900000003</v>
      </c>
      <c r="C1572">
        <v>-118.4368463</v>
      </c>
      <c r="D1572" t="s">
        <v>5</v>
      </c>
    </row>
    <row r="1573" spans="1:4" x14ac:dyDescent="0.45">
      <c r="A1573" t="s">
        <v>1575</v>
      </c>
      <c r="B1573">
        <v>33.902773600000003</v>
      </c>
      <c r="C1573">
        <v>-118.42101099999999</v>
      </c>
      <c r="D1573" t="s">
        <v>5</v>
      </c>
    </row>
    <row r="1574" spans="1:4" x14ac:dyDescent="0.45">
      <c r="A1574" t="s">
        <v>1576</v>
      </c>
      <c r="B1574">
        <v>33.943079599999997</v>
      </c>
      <c r="C1574">
        <v>-118.4069997</v>
      </c>
      <c r="D1574" t="str">
        <f>HYPERLINK("https://lh5.googleusercontent.com/p/AF1QipNrHge5B8A7loNZf8_4ieUsGX2EuRiVp9-U_Dr_=w408-h725-k-no", "link")</f>
        <v>link</v>
      </c>
    </row>
    <row r="1575" spans="1:4" x14ac:dyDescent="0.45">
      <c r="A1575" t="s">
        <v>1577</v>
      </c>
      <c r="B1575">
        <v>33.902571100000003</v>
      </c>
      <c r="C1575">
        <v>-118.4209267</v>
      </c>
      <c r="D1575" t="s">
        <v>5</v>
      </c>
    </row>
    <row r="1576" spans="1:4" x14ac:dyDescent="0.45">
      <c r="A1576" t="s">
        <v>1578</v>
      </c>
      <c r="B1576">
        <v>33.943142999999999</v>
      </c>
      <c r="C1576">
        <v>-118.4070431</v>
      </c>
      <c r="D1576" t="str">
        <f>HYPERLINK("https://streetviewpixels-pa.googleapis.com/v1/thumbnail?panoid=J1Ch7B-MG8Rw9g_d2CfzVQ&amp;cb_client=search.gws-prod.gps&amp;w=408&amp;h=240&amp;yaw=323.48605&amp;pitch=0&amp;thumbfov=100", "link")</f>
        <v>link</v>
      </c>
    </row>
    <row r="1577" spans="1:4" x14ac:dyDescent="0.45">
      <c r="A1577" t="s">
        <v>1579</v>
      </c>
      <c r="B1577">
        <v>33.901794500000001</v>
      </c>
      <c r="C1577">
        <v>-118.4167667</v>
      </c>
      <c r="D1577" t="s">
        <v>5</v>
      </c>
    </row>
    <row r="1578" spans="1:4" x14ac:dyDescent="0.45">
      <c r="A1578" t="s">
        <v>1580</v>
      </c>
      <c r="B1578">
        <v>33.901384</v>
      </c>
      <c r="C1578">
        <v>-118.41768949999999</v>
      </c>
      <c r="D1578" t="str">
        <f>HYPERLINK("https://lh5.googleusercontent.com/p/AF1QipPByE638yuFG-VRzAz0uTbtYGp03Jlz_TEj364s=w426-h240-k-no", "link")</f>
        <v>link</v>
      </c>
    </row>
    <row r="1579" spans="1:4" x14ac:dyDescent="0.45">
      <c r="A1579" t="s">
        <v>1581</v>
      </c>
      <c r="B1579">
        <v>33.935952</v>
      </c>
      <c r="C1579">
        <v>-118.4383066</v>
      </c>
      <c r="D1579" t="s">
        <v>5</v>
      </c>
    </row>
    <row r="1580" spans="1:4" x14ac:dyDescent="0.45">
      <c r="A1580" t="s">
        <v>1582</v>
      </c>
      <c r="B1580">
        <v>33.930676400000003</v>
      </c>
      <c r="C1580">
        <v>-118.4215445</v>
      </c>
      <c r="D1580" t="str">
        <f>HYPERLINK("https://streetviewpixels-pa.googleapis.com/v1/thumbnail?panoid=FLMi4cnLhB1JOIkHhUOkLA&amp;cb_client=search.gws-prod.gps&amp;w=408&amp;h=240&amp;yaw=181.11124&amp;pitch=0&amp;thumbfov=100", "link")</f>
        <v>link</v>
      </c>
    </row>
    <row r="1581" spans="1:4" x14ac:dyDescent="0.45">
      <c r="A1581" t="s">
        <v>1583</v>
      </c>
      <c r="B1581">
        <v>33.916920400000002</v>
      </c>
      <c r="C1581">
        <v>-118.4286322</v>
      </c>
      <c r="D1581" t="s">
        <v>5</v>
      </c>
    </row>
    <row r="1582" spans="1:4" x14ac:dyDescent="0.45">
      <c r="A1582" t="s">
        <v>1584</v>
      </c>
      <c r="B1582">
        <v>33.921438700000003</v>
      </c>
      <c r="C1582">
        <v>-118.4307314</v>
      </c>
      <c r="D1582" t="s">
        <v>5</v>
      </c>
    </row>
    <row r="1583" spans="1:4" x14ac:dyDescent="0.45">
      <c r="A1583" t="s">
        <v>1585</v>
      </c>
      <c r="B1583">
        <v>33.9167559999999</v>
      </c>
      <c r="C1583">
        <v>-118.4285713</v>
      </c>
      <c r="D1583" t="s">
        <v>5</v>
      </c>
    </row>
    <row r="1584" spans="1:4" x14ac:dyDescent="0.45">
      <c r="A1584" t="s">
        <v>1586</v>
      </c>
      <c r="B1584">
        <v>33.921728699999903</v>
      </c>
      <c r="C1584">
        <v>-118.43091750000001</v>
      </c>
      <c r="D1584" t="str">
        <f>HYPERLINK("https://lh5.googleusercontent.com/p/AF1QipP3xnsX6bwb1sgY21ILLwkW6w7UEZlcDOOSAjpx=w493-h240-k-no", "link")</f>
        <v>link</v>
      </c>
    </row>
    <row r="1585" spans="1:4" x14ac:dyDescent="0.45">
      <c r="A1585" t="s">
        <v>1587</v>
      </c>
      <c r="B1585">
        <v>33.928833099999999</v>
      </c>
      <c r="C1585">
        <v>-118.4346103</v>
      </c>
      <c r="D1585" t="str">
        <f>HYPERLINK("https://lh5.googleusercontent.com/p/AF1QipMQpHiNkj1OsFsfDWtMFrmraLQCaUQjf9CFF368=w426-h240-k-no", "link")</f>
        <v>link</v>
      </c>
    </row>
    <row r="1586" spans="1:4" x14ac:dyDescent="0.45">
      <c r="A1586" t="s">
        <v>1588</v>
      </c>
      <c r="B1586">
        <v>33.928203399999902</v>
      </c>
      <c r="C1586">
        <v>-118.3725372</v>
      </c>
      <c r="D1586" t="str">
        <f>HYPERLINK("https://streetviewpixels-pa.googleapis.com/v1/thumbnail?panoid=yBSnZRlRUk4tCHVZnXjsCg&amp;cb_client=search.gws-prod.gps&amp;w=408&amp;h=240&amp;yaw=32.698624&amp;pitch=0&amp;thumbfov=100", "link")</f>
        <v>link</v>
      </c>
    </row>
    <row r="1587" spans="1:4" x14ac:dyDescent="0.45">
      <c r="A1587" t="s">
        <v>1589</v>
      </c>
      <c r="B1587">
        <v>33.928302599999903</v>
      </c>
      <c r="C1587">
        <v>-118.37140530000001</v>
      </c>
      <c r="D1587" t="str">
        <f>HYPERLINK("https://streetviewpixels-pa.googleapis.com/v1/thumbnail?panoid=S4GGCotL-XQAxFz6eUdhdg&amp;cb_client=search.gws-prod.gps&amp;w=408&amp;h=240&amp;yaw=86.94678&amp;pitch=0&amp;thumbfov=100", "link")</f>
        <v>link</v>
      </c>
    </row>
    <row r="1588" spans="1:4" x14ac:dyDescent="0.45">
      <c r="A1588" t="s">
        <v>1590</v>
      </c>
      <c r="B1588">
        <v>33.934647200000001</v>
      </c>
      <c r="C1588">
        <v>-118.3748243</v>
      </c>
      <c r="D1588" t="str">
        <f>HYPERLINK("https://streetviewpixels-pa.googleapis.com/v1/thumbnail?panoid=xqLPdcEt-pta3tJPKKwJVQ&amp;cb_client=search.gws-prod.gps&amp;w=408&amp;h=240&amp;yaw=352.4668&amp;pitch=0&amp;thumbfov=100", "link")</f>
        <v>link</v>
      </c>
    </row>
    <row r="1589" spans="1:4" x14ac:dyDescent="0.45">
      <c r="A1589" t="s">
        <v>1591</v>
      </c>
      <c r="B1589">
        <v>33.928027200000002</v>
      </c>
      <c r="C1589">
        <v>-118.3700984</v>
      </c>
      <c r="D1589" t="str">
        <f>HYPERLINK("https://streetviewpixels-pa.googleapis.com/v1/thumbnail?panoid=mrt5A4UY4p3wuTWlMDycjQ&amp;cb_client=search.gws-prod.gps&amp;w=408&amp;h=240&amp;yaw=358.91708&amp;pitch=0&amp;thumbfov=100", "link")</f>
        <v>link</v>
      </c>
    </row>
    <row r="1590" spans="1:4" x14ac:dyDescent="0.45">
      <c r="A1590" t="s">
        <v>1592</v>
      </c>
      <c r="B1590">
        <v>33.934419699999999</v>
      </c>
      <c r="C1590">
        <v>-118.3725408</v>
      </c>
      <c r="D1590" t="str">
        <f>HYPERLINK("https://streetviewpixels-pa.googleapis.com/v1/thumbnail?panoid=d9jw7rkLRgFQepuseCKztQ&amp;cb_client=search.gws-prod.gps&amp;w=408&amp;h=240&amp;yaw=257.9171&amp;pitch=0&amp;thumbfov=100", "link")</f>
        <v>link</v>
      </c>
    </row>
    <row r="1591" spans="1:4" x14ac:dyDescent="0.45">
      <c r="A1591" t="s">
        <v>1593</v>
      </c>
      <c r="B1591">
        <v>33.931845799999998</v>
      </c>
      <c r="C1591">
        <v>-118.36959</v>
      </c>
      <c r="D1591" t="str">
        <f>HYPERLINK("https://streetviewpixels-pa.googleapis.com/v1/thumbnail?panoid=NfH1JFnJAA4v_uVfCgqs7A&amp;cb_client=search.gws-prod.gps&amp;w=408&amp;h=240&amp;yaw=25.785753&amp;pitch=0&amp;thumbfov=100", "link")</f>
        <v>link</v>
      </c>
    </row>
    <row r="1592" spans="1:4" x14ac:dyDescent="0.45">
      <c r="A1592" t="s">
        <v>1594</v>
      </c>
      <c r="B1592">
        <v>33.944429999999997</v>
      </c>
      <c r="C1592">
        <v>-118.4053133</v>
      </c>
      <c r="D1592" t="str">
        <f>HYPERLINK("https://streetviewpixels-pa.googleapis.com/v1/thumbnail?panoid=qfAEJv7jni5DJ0PYYfmowA&amp;cb_client=search.gws-prod.gps&amp;w=408&amp;h=240&amp;yaw=208.65253&amp;pitch=0&amp;thumbfov=100", "link")</f>
        <v>link</v>
      </c>
    </row>
    <row r="1593" spans="1:4" x14ac:dyDescent="0.45">
      <c r="A1593" t="s">
        <v>1595</v>
      </c>
      <c r="B1593">
        <v>33.944394799999998</v>
      </c>
      <c r="C1593">
        <v>-118.4052654</v>
      </c>
      <c r="D1593" t="str">
        <f>HYPERLINK("https://streetviewpixels-pa.googleapis.com/v1/thumbnail?panoid=qfAEJv7jni5DJ0PYYfmowA&amp;cb_client=search.gws-prod.gps&amp;w=408&amp;h=240&amp;yaw=208.65253&amp;pitch=0&amp;thumbfov=100", "link")</f>
        <v>link</v>
      </c>
    </row>
    <row r="1594" spans="1:4" x14ac:dyDescent="0.45">
      <c r="A1594" t="s">
        <v>1596</v>
      </c>
      <c r="B1594">
        <v>33.941097399999997</v>
      </c>
      <c r="C1594">
        <v>-118.4414096</v>
      </c>
      <c r="D1594" t="s">
        <v>5</v>
      </c>
    </row>
    <row r="1595" spans="1:4" x14ac:dyDescent="0.45">
      <c r="A1595" t="s">
        <v>1597</v>
      </c>
      <c r="B1595">
        <v>33.944659399999999</v>
      </c>
      <c r="C1595">
        <v>-118.40395890000001</v>
      </c>
      <c r="D1595" t="str">
        <f>HYPERLINK("https://streetviewpixels-pa.googleapis.com/v1/thumbnail?panoid=Ps9ORINXD9nr9IjKyLVfxA&amp;cb_client=search.gws-prod.gps&amp;w=408&amp;h=240&amp;yaw=218.55615&amp;pitch=0&amp;thumbfov=100", "link")</f>
        <v>link</v>
      </c>
    </row>
    <row r="1596" spans="1:4" x14ac:dyDescent="0.45">
      <c r="A1596" t="s">
        <v>1598</v>
      </c>
      <c r="B1596">
        <v>33.944715000000002</v>
      </c>
      <c r="C1596">
        <v>-118.40398740000001</v>
      </c>
      <c r="D1596" t="str">
        <f>HYPERLINK("https://streetviewpixels-pa.googleapis.com/v1/thumbnail?panoid=Ps9ORINXD9nr9IjKyLVfxA&amp;cb_client=search.gws-prod.gps&amp;w=408&amp;h=240&amp;yaw=218.55615&amp;pitch=0&amp;thumbfov=100", "link")</f>
        <v>link</v>
      </c>
    </row>
    <row r="1597" spans="1:4" x14ac:dyDescent="0.45">
      <c r="A1597" t="s">
        <v>1599</v>
      </c>
      <c r="B1597">
        <v>33.9448978</v>
      </c>
      <c r="C1597">
        <v>-118.4019792</v>
      </c>
      <c r="D1597" t="s">
        <v>5</v>
      </c>
    </row>
    <row r="1598" spans="1:4" x14ac:dyDescent="0.45">
      <c r="A1598" t="s">
        <v>1600</v>
      </c>
      <c r="B1598">
        <v>33.944224400000003</v>
      </c>
      <c r="C1598">
        <v>-118.4072058</v>
      </c>
      <c r="D1598" t="str">
        <f>HYPERLINK("https://lh5.googleusercontent.com/p/AF1QipNepYoqDOygRvBgT5J_T1TtUq8RlpNHtF_L-3Ay=w408-h306-k-no", "link")</f>
        <v>link</v>
      </c>
    </row>
    <row r="1599" spans="1:4" x14ac:dyDescent="0.45">
      <c r="A1599" t="s">
        <v>1601</v>
      </c>
      <c r="B1599">
        <v>33.890318999999998</v>
      </c>
      <c r="C1599">
        <v>-118.395974</v>
      </c>
      <c r="D1599" t="str">
        <f>HYPERLINK("https://streetviewpixels-pa.googleapis.com/v1/thumbnail?panoid=1rynbQSEAXm1_6J6lPsulA&amp;cb_client=search.gws-prod.gps&amp;w=408&amp;h=240&amp;yaw=256.51688&amp;pitch=0&amp;thumbfov=100", "link")</f>
        <v>link</v>
      </c>
    </row>
    <row r="1600" spans="1:4" x14ac:dyDescent="0.45">
      <c r="A1600" t="s">
        <v>1602</v>
      </c>
      <c r="B1600">
        <v>33.889980000000001</v>
      </c>
      <c r="C1600">
        <v>-118.39625890000001</v>
      </c>
      <c r="D1600" t="str">
        <f>HYPERLINK("https://streetviewpixels-pa.googleapis.com/v1/thumbnail?panoid=hi30z5qoNYiuumZf9DwOcA&amp;cb_client=search.gws-prod.gps&amp;w=408&amp;h=240&amp;yaw=259.42453&amp;pitch=0&amp;thumbfov=100", "link")</f>
        <v>link</v>
      </c>
    </row>
    <row r="1601" spans="1:4" x14ac:dyDescent="0.45">
      <c r="A1601" t="s">
        <v>1603</v>
      </c>
      <c r="B1601">
        <v>33.895198799999903</v>
      </c>
      <c r="C1601">
        <v>-118.37063139999999</v>
      </c>
      <c r="D1601" t="s">
        <v>5</v>
      </c>
    </row>
    <row r="1602" spans="1:4" x14ac:dyDescent="0.45">
      <c r="A1602" t="s">
        <v>1604</v>
      </c>
      <c r="B1602">
        <v>33.8951919</v>
      </c>
      <c r="C1602">
        <v>-118.3704829</v>
      </c>
      <c r="D1602" t="s">
        <v>5</v>
      </c>
    </row>
    <row r="1603" spans="1:4" x14ac:dyDescent="0.45">
      <c r="A1603" t="s">
        <v>1605</v>
      </c>
      <c r="B1603">
        <v>33.894201500000001</v>
      </c>
      <c r="C1603">
        <v>-118.368971</v>
      </c>
      <c r="D1603" t="s">
        <v>5</v>
      </c>
    </row>
    <row r="1604" spans="1:4" x14ac:dyDescent="0.45">
      <c r="A1604" t="s">
        <v>1606</v>
      </c>
      <c r="B1604">
        <v>33.893868099999999</v>
      </c>
      <c r="C1604">
        <v>-118.368246</v>
      </c>
      <c r="D1604" t="s">
        <v>5</v>
      </c>
    </row>
    <row r="1605" spans="1:4" x14ac:dyDescent="0.45">
      <c r="A1605" t="s">
        <v>1607</v>
      </c>
      <c r="B1605">
        <v>33.903143999999998</v>
      </c>
      <c r="C1605">
        <v>-118.38123849999999</v>
      </c>
      <c r="D1605" t="str">
        <f>HYPERLINK("https://streetviewpixels-pa.googleapis.com/v1/thumbnail?panoid=Yvf6dr5mzxtt5xKFrUVkHg&amp;cb_client=search.gws-prod.gps&amp;w=408&amp;h=240&amp;yaw=49.05848&amp;pitch=0&amp;thumbfov=100", "link")</f>
        <v>link</v>
      </c>
    </row>
    <row r="1606" spans="1:4" x14ac:dyDescent="0.45">
      <c r="A1606" t="s">
        <v>1608</v>
      </c>
      <c r="B1606">
        <v>33.902198900000002</v>
      </c>
      <c r="C1606">
        <v>-118.3797543</v>
      </c>
      <c r="D1606" t="str">
        <f>HYPERLINK("https://streetviewpixels-pa.googleapis.com/v1/thumbnail?panoid=sBK4qoJVXlYwmBXL46FtfA&amp;cb_client=search.gws-prod.gps&amp;w=408&amp;h=240&amp;yaw=307.97137&amp;pitch=0&amp;thumbfov=100", "link")</f>
        <v>link</v>
      </c>
    </row>
    <row r="1607" spans="1:4" x14ac:dyDescent="0.45">
      <c r="A1607" t="s">
        <v>1609</v>
      </c>
      <c r="B1607">
        <v>33.900780599999997</v>
      </c>
      <c r="C1607">
        <v>-118.3779464</v>
      </c>
      <c r="D1607" t="s">
        <v>5</v>
      </c>
    </row>
    <row r="1608" spans="1:4" x14ac:dyDescent="0.45">
      <c r="A1608" t="s">
        <v>1610</v>
      </c>
      <c r="B1608">
        <v>33.896068999999997</v>
      </c>
      <c r="C1608">
        <v>-118.38107359999999</v>
      </c>
      <c r="D1608" t="s">
        <v>5</v>
      </c>
    </row>
    <row r="1609" spans="1:4" x14ac:dyDescent="0.45">
      <c r="A1609" t="s">
        <v>1611</v>
      </c>
      <c r="B1609">
        <v>33.899010699999998</v>
      </c>
      <c r="C1609">
        <v>-118.3777874</v>
      </c>
      <c r="D1609" t="str">
        <f>HYPERLINK("https://streetviewpixels-pa.googleapis.com/v1/thumbnail?panoid=BvcYZQEIwHhaZepQ36YSyQ&amp;cb_client=search.gws-prod.gps&amp;w=408&amp;h=240&amp;yaw=132.15254&amp;pitch=0&amp;thumbfov=100", "link")</f>
        <v>link</v>
      </c>
    </row>
    <row r="1610" spans="1:4" x14ac:dyDescent="0.45">
      <c r="A1610" t="s">
        <v>1612</v>
      </c>
      <c r="B1610">
        <v>33.895733100000001</v>
      </c>
      <c r="C1610">
        <v>-118.3949413</v>
      </c>
      <c r="D1610" t="str">
        <f>HYPERLINK("https://streetviewpixels-pa.googleapis.com/v1/thumbnail?panoid=BExaiQwiz3nmDzaQrPdRjQ&amp;cb_client=search.gws-prod.gps&amp;w=408&amp;h=240&amp;yaw=348.00702&amp;pitch=0&amp;thumbfov=100", "link")</f>
        <v>link</v>
      </c>
    </row>
    <row r="1611" spans="1:4" x14ac:dyDescent="0.45">
      <c r="A1611" t="s">
        <v>1613</v>
      </c>
      <c r="B1611">
        <v>33.902281700000003</v>
      </c>
      <c r="C1611">
        <v>-118.3695242</v>
      </c>
      <c r="D1611" t="s">
        <v>5</v>
      </c>
    </row>
    <row r="1612" spans="1:4" x14ac:dyDescent="0.45">
      <c r="A1612" t="s">
        <v>1614</v>
      </c>
      <c r="B1612">
        <v>33.902158</v>
      </c>
      <c r="C1612">
        <v>-118.369227</v>
      </c>
      <c r="D1612" t="str">
        <f>HYPERLINK("https://streetviewpixels-pa.googleapis.com/v1/thumbnail?panoid=z3KQBt1gU2jXjcusi28Igw&amp;cb_client=search.gws-prod.gps&amp;w=408&amp;h=240&amp;yaw=329.12396&amp;pitch=0&amp;thumbfov=100", "link")</f>
        <v>link</v>
      </c>
    </row>
    <row r="1613" spans="1:4" x14ac:dyDescent="0.45">
      <c r="A1613" t="s">
        <v>1615</v>
      </c>
      <c r="B1613">
        <v>33.908241400000001</v>
      </c>
      <c r="C1613">
        <v>-118.361147</v>
      </c>
      <c r="D1613" t="s">
        <v>5</v>
      </c>
    </row>
    <row r="1614" spans="1:4" x14ac:dyDescent="0.45">
      <c r="A1614" t="s">
        <v>1616</v>
      </c>
      <c r="B1614">
        <v>33.945008999999999</v>
      </c>
      <c r="C1614">
        <v>-118.3855471</v>
      </c>
      <c r="D1614" t="s">
        <v>5</v>
      </c>
    </row>
    <row r="1615" spans="1:4" x14ac:dyDescent="0.45">
      <c r="A1615" t="s">
        <v>1617</v>
      </c>
      <c r="B1615">
        <v>33.945721200000001</v>
      </c>
      <c r="C1615">
        <v>-118.3824223</v>
      </c>
      <c r="D1615" t="str">
        <f>HYPERLINK("https://lh5.googleusercontent.com/p/AF1QipPyan-hW1vKvxsffsPsb4WaCxLCX4x2jlXt15eT=w408-h305-k-no", "link")</f>
        <v>link</v>
      </c>
    </row>
    <row r="1616" spans="1:4" x14ac:dyDescent="0.45">
      <c r="A1616" t="s">
        <v>1618</v>
      </c>
      <c r="B1616">
        <v>33.945833399999998</v>
      </c>
      <c r="C1616">
        <v>-118.382786</v>
      </c>
      <c r="D1616" t="str">
        <f>HYPERLINK("https://streetviewpixels-pa.googleapis.com/v1/thumbnail?panoid=ndc2dIocnD2-4Y1aEA3KqQ&amp;cb_client=search.gws-prod.gps&amp;w=408&amp;h=240&amp;yaw=16.3222&amp;pitch=0&amp;thumbfov=100", "link")</f>
        <v>link</v>
      </c>
    </row>
    <row r="1617" spans="1:4" x14ac:dyDescent="0.45">
      <c r="A1617" t="s">
        <v>1619</v>
      </c>
      <c r="B1617">
        <v>33.946050200000002</v>
      </c>
      <c r="C1617">
        <v>-118.38255270000001</v>
      </c>
      <c r="D1617" t="s">
        <v>5</v>
      </c>
    </row>
    <row r="1618" spans="1:4" x14ac:dyDescent="0.45">
      <c r="A1618" t="s">
        <v>1620</v>
      </c>
      <c r="B1618">
        <v>33.9424163999999</v>
      </c>
      <c r="C1618">
        <v>-118.3717419</v>
      </c>
      <c r="D1618" t="s">
        <v>5</v>
      </c>
    </row>
    <row r="1619" spans="1:4" x14ac:dyDescent="0.45">
      <c r="A1619" t="s">
        <v>1621</v>
      </c>
      <c r="B1619">
        <v>33.946005599999999</v>
      </c>
      <c r="C1619">
        <v>-118.3805448</v>
      </c>
      <c r="D1619" t="str">
        <f>HYPERLINK("https://streetviewpixels-pa.googleapis.com/v1/thumbnail?panoid=dxKpTeCt4ZP-0RmAhXrK0A&amp;cb_client=search.gws-prod.gps&amp;w=408&amp;h=240&amp;yaw=268.26428&amp;pitch=0&amp;thumbfov=100", "link")</f>
        <v>link</v>
      </c>
    </row>
    <row r="1620" spans="1:4" x14ac:dyDescent="0.45">
      <c r="A1620" t="s">
        <v>1622</v>
      </c>
      <c r="B1620">
        <v>33.941781199999902</v>
      </c>
      <c r="C1620">
        <v>-118.3708637</v>
      </c>
      <c r="D1620" t="str">
        <f>HYPERLINK("https://lh5.googleusercontent.com/p/AF1QipOntzD4dW70RAAiasyTLPxgKsqar2ZJvwlW6HwI=w408-h315-k-no", "link")</f>
        <v>link</v>
      </c>
    </row>
    <row r="1621" spans="1:4" x14ac:dyDescent="0.45">
      <c r="A1621" t="s">
        <v>1623</v>
      </c>
      <c r="B1621">
        <v>33.885353899999998</v>
      </c>
      <c r="C1621">
        <v>-118.39668450000001</v>
      </c>
      <c r="D1621" t="s">
        <v>5</v>
      </c>
    </row>
    <row r="1622" spans="1:4" x14ac:dyDescent="0.45">
      <c r="A1622" t="s">
        <v>1624</v>
      </c>
      <c r="B1622">
        <v>33.9442162</v>
      </c>
      <c r="C1622">
        <v>-118.37194479999999</v>
      </c>
      <c r="D1622" t="s">
        <v>5</v>
      </c>
    </row>
    <row r="1623" spans="1:4" x14ac:dyDescent="0.45">
      <c r="A1623" t="s">
        <v>1625</v>
      </c>
      <c r="B1623">
        <v>33.944232999999997</v>
      </c>
      <c r="C1623">
        <v>-118.371218</v>
      </c>
      <c r="D1623" t="str">
        <f>HYPERLINK("https://streetviewpixels-pa.googleapis.com/v1/thumbnail?panoid=QVnvHT6FRPGUsmsyVw7e9g&amp;cb_client=search.gws-prod.gps&amp;w=408&amp;h=240&amp;yaw=228.26991&amp;pitch=0&amp;thumbfov=100", "link")</f>
        <v>link</v>
      </c>
    </row>
    <row r="1624" spans="1:4" x14ac:dyDescent="0.45">
      <c r="A1624" t="s">
        <v>1626</v>
      </c>
      <c r="B1624">
        <v>33.944271000000001</v>
      </c>
      <c r="C1624">
        <v>-118.37055719999999</v>
      </c>
      <c r="D1624" t="str">
        <f>HYPERLINK("https://streetviewpixels-pa.googleapis.com/v1/thumbnail?panoid=brqYtEqYHIBkrK7LHhDUyg&amp;cb_client=search.gws-prod.gps&amp;w=408&amp;h=240&amp;yaw=277.49457&amp;pitch=0&amp;thumbfov=100", "link")</f>
        <v>link</v>
      </c>
    </row>
    <row r="1625" spans="1:4" x14ac:dyDescent="0.45">
      <c r="A1625" t="s">
        <v>1627</v>
      </c>
      <c r="B1625">
        <v>33.944643599999999</v>
      </c>
      <c r="C1625">
        <v>-118.3720714</v>
      </c>
      <c r="D1625" t="str">
        <f>HYPERLINK("https://streetviewpixels-pa.googleapis.com/v1/thumbnail?panoid=x5qpcob2zR9y50SK8Glfpg&amp;cb_client=search.gws-prod.gps&amp;w=408&amp;h=240&amp;yaw=189.59099&amp;pitch=0&amp;thumbfov=100", "link")</f>
        <v>link</v>
      </c>
    </row>
    <row r="1626" spans="1:4" x14ac:dyDescent="0.45">
      <c r="A1626" t="s">
        <v>1628</v>
      </c>
      <c r="B1626">
        <v>33.945021300000001</v>
      </c>
      <c r="C1626">
        <v>-118.3718981</v>
      </c>
      <c r="D1626" t="str">
        <f>HYPERLINK("https://streetviewpixels-pa.googleapis.com/v1/thumbnail?panoid=QfF6vJ0e0DLQThflycK5NQ&amp;cb_client=search.gws-prod.gps&amp;w=408&amp;h=240&amp;yaw=189.01265&amp;pitch=0&amp;thumbfov=100", "link")</f>
        <v>link</v>
      </c>
    </row>
    <row r="1627" spans="1:4" x14ac:dyDescent="0.45">
      <c r="A1627" t="s">
        <v>1629</v>
      </c>
      <c r="B1627">
        <v>33.945125699999998</v>
      </c>
      <c r="C1627">
        <v>-118.37220960000001</v>
      </c>
      <c r="D1627" t="str">
        <f>HYPERLINK("https://streetviewpixels-pa.googleapis.com/v1/thumbnail?panoid=e9a1PWDPUEa6Hb3qwknKkA&amp;cb_client=search.gws-prod.gps&amp;w=408&amp;h=240&amp;yaw=200.13983&amp;pitch=0&amp;thumbfov=100", "link")</f>
        <v>link</v>
      </c>
    </row>
    <row r="1628" spans="1:4" x14ac:dyDescent="0.45">
      <c r="A1628" t="s">
        <v>1630</v>
      </c>
      <c r="B1628">
        <v>33.9342872</v>
      </c>
      <c r="C1628">
        <v>-118.3533458</v>
      </c>
      <c r="D1628" t="str">
        <f>HYPERLINK("https://streetviewpixels-pa.googleapis.com/v1/thumbnail?panoid=XMSJR5p7YKlGyGxbQdUuyg&amp;cb_client=search.gws-prod.gps&amp;w=408&amp;h=240&amp;yaw=190.45149&amp;pitch=0&amp;thumbfov=100", "link")</f>
        <v>link</v>
      </c>
    </row>
    <row r="1629" spans="1:4" x14ac:dyDescent="0.45">
      <c r="A1629" t="s">
        <v>1631</v>
      </c>
      <c r="B1629">
        <v>33.9325329999999</v>
      </c>
      <c r="C1629">
        <v>-118.35185629999999</v>
      </c>
      <c r="D1629" t="str">
        <f>HYPERLINK("https://streetviewpixels-pa.googleapis.com/v1/thumbnail?panoid=3S70Dqnln-6M9zv7CtgKEQ&amp;cb_client=search.gws-prod.gps&amp;w=408&amp;h=240&amp;yaw=85.11321&amp;pitch=0&amp;thumbfov=100", "link")</f>
        <v>link</v>
      </c>
    </row>
    <row r="1630" spans="1:4" x14ac:dyDescent="0.45">
      <c r="A1630" t="s">
        <v>1632</v>
      </c>
      <c r="B1630">
        <v>33.9459746</v>
      </c>
      <c r="C1630">
        <v>-118.3691796</v>
      </c>
      <c r="D1630" t="str">
        <f>HYPERLINK("https://streetviewpixels-pa.googleapis.com/v1/thumbnail?panoid=x9QbyP8JicyMWhn98upZAw&amp;cb_client=search.gws-prod.gps&amp;w=408&amp;h=240&amp;yaw=92.67274&amp;pitch=0&amp;thumbfov=100", "link")</f>
        <v>link</v>
      </c>
    </row>
    <row r="1631" spans="1:4" x14ac:dyDescent="0.45">
      <c r="A1631" t="s">
        <v>1633</v>
      </c>
      <c r="B1631">
        <v>33.938786200000003</v>
      </c>
      <c r="C1631">
        <v>-118.36080459999999</v>
      </c>
      <c r="D1631" t="str">
        <f>HYPERLINK("https://streetviewpixels-pa.googleapis.com/v1/thumbnail?panoid=_7mgiVkfHUrjE92UXH823Q&amp;cb_client=search.gws-prod.gps&amp;w=408&amp;h=240&amp;yaw=93.329254&amp;pitch=0&amp;thumbfov=100", "link")</f>
        <v>link</v>
      </c>
    </row>
    <row r="1632" spans="1:4" x14ac:dyDescent="0.45">
      <c r="A1632" t="s">
        <v>1634</v>
      </c>
      <c r="B1632">
        <v>33.942386499999998</v>
      </c>
      <c r="C1632">
        <v>-118.3696479</v>
      </c>
      <c r="D1632" t="str">
        <f>HYPERLINK("https://streetviewpixels-pa.googleapis.com/v1/thumbnail?panoid=iAA6G8ARC1nTSdwFMNH8ig&amp;cb_client=search.gws-prod.gps&amp;w=408&amp;h=240&amp;yaw=127.49804&amp;pitch=0&amp;thumbfov=100", "link")</f>
        <v>link</v>
      </c>
    </row>
    <row r="1633" spans="1:4" x14ac:dyDescent="0.45">
      <c r="A1633" t="s">
        <v>1635</v>
      </c>
      <c r="B1633">
        <v>33.928658899999903</v>
      </c>
      <c r="C1633">
        <v>-118.35368649999999</v>
      </c>
      <c r="D1633" t="str">
        <f>HYPERLINK("https://streetviewpixels-pa.googleapis.com/v1/thumbnail?panoid=YDQlUxYcYjFPH7d_9NEbmw&amp;cb_client=search.gws-prod.gps&amp;w=408&amp;h=240&amp;yaw=24.80059&amp;pitch=0&amp;thumbfov=100", "link")</f>
        <v>link</v>
      </c>
    </row>
    <row r="1634" spans="1:4" x14ac:dyDescent="0.45">
      <c r="A1634" t="s">
        <v>1636</v>
      </c>
      <c r="B1634">
        <v>33.9007217999999</v>
      </c>
      <c r="C1634">
        <v>-118.41791499999999</v>
      </c>
      <c r="D1634" t="str">
        <f>HYPERLINK("https://streetviewpixels-pa.googleapis.com/v1/thumbnail?panoid=YDYoJX_bNYK3iLzpXR6yhA&amp;cb_client=search.gws-prod.gps&amp;w=408&amp;h=240&amp;yaw=303.32523&amp;pitch=0&amp;thumbfov=100", "link")</f>
        <v>link</v>
      </c>
    </row>
    <row r="1635" spans="1:4" x14ac:dyDescent="0.45">
      <c r="A1635" t="s">
        <v>1637</v>
      </c>
      <c r="B1635">
        <v>34.157296799999997</v>
      </c>
      <c r="C1635">
        <v>-118.4927296</v>
      </c>
      <c r="D1635" t="str">
        <f>HYPERLINK("https://streetviewpixels-pa.googleapis.com/v1/thumbnail?panoid=LUSletH9VUGwSEMmWfL-Fg&amp;cb_client=search.gws-prod.gps&amp;w=408&amp;h=240&amp;yaw=291.56573&amp;pitch=0&amp;thumbfov=100", "link")</f>
        <v>link</v>
      </c>
    </row>
    <row r="1636" spans="1:4" x14ac:dyDescent="0.45">
      <c r="A1636" t="s">
        <v>1638</v>
      </c>
      <c r="B1636">
        <v>34.157997399999999</v>
      </c>
      <c r="C1636">
        <v>-118.49281929999999</v>
      </c>
      <c r="D1636" t="str">
        <f>HYPERLINK("https://streetviewpixels-pa.googleapis.com/v1/thumbnail?panoid=FznXnclvMsPj00OeN5kahw&amp;cb_client=search.gws-prod.gps&amp;w=408&amp;h=240&amp;yaw=266.3692&amp;pitch=0&amp;thumbfov=100", "link")</f>
        <v>link</v>
      </c>
    </row>
    <row r="1637" spans="1:4" x14ac:dyDescent="0.45">
      <c r="A1637" t="s">
        <v>1639</v>
      </c>
      <c r="B1637">
        <v>34.152860500000003</v>
      </c>
      <c r="C1637">
        <v>-118.4664573</v>
      </c>
      <c r="D1637" t="s">
        <v>5</v>
      </c>
    </row>
    <row r="1638" spans="1:4" x14ac:dyDescent="0.45">
      <c r="A1638" t="s">
        <v>1640</v>
      </c>
      <c r="B1638">
        <v>34.157509300000001</v>
      </c>
      <c r="C1638">
        <v>-118.4932938</v>
      </c>
      <c r="D1638" t="str">
        <f>HYPERLINK("https://streetviewpixels-pa.googleapis.com/v1/thumbnail?panoid=n-Xj6L5SRrFm2CiWw52Y3Q&amp;cb_client=search.gws-prod.gps&amp;w=408&amp;h=240&amp;yaw=203.14578&amp;pitch=0&amp;thumbfov=100", "link")</f>
        <v>link</v>
      </c>
    </row>
    <row r="1639" spans="1:4" x14ac:dyDescent="0.45">
      <c r="A1639" t="s">
        <v>1641</v>
      </c>
      <c r="B1639">
        <v>34.157314999999997</v>
      </c>
      <c r="C1639">
        <v>-118.493432</v>
      </c>
      <c r="D1639" t="str">
        <f>HYPERLINK("https://streetviewpixels-pa.googleapis.com/v1/thumbnail?panoid=n-Xj6L5SRrFm2CiWw52Y3Q&amp;cb_client=search.gws-prod.gps&amp;w=408&amp;h=240&amp;yaw=203.14578&amp;pitch=0&amp;thumbfov=100", "link")</f>
        <v>link</v>
      </c>
    </row>
    <row r="1640" spans="1:4" x14ac:dyDescent="0.45">
      <c r="A1640" t="s">
        <v>1642</v>
      </c>
      <c r="B1640">
        <v>34.1530652</v>
      </c>
      <c r="C1640">
        <v>-118.4658663</v>
      </c>
      <c r="D1640" t="str">
        <f>HYPERLINK("https://streetviewpixels-pa.googleapis.com/v1/thumbnail?panoid=6G5xgZJL-PL08gMTBZ9xrw&amp;cb_client=search.gws-prod.gps&amp;w=408&amp;h=240&amp;yaw=188.66408&amp;pitch=0&amp;thumbfov=100", "link")</f>
        <v>link</v>
      </c>
    </row>
    <row r="1641" spans="1:4" x14ac:dyDescent="0.45">
      <c r="A1641" t="s">
        <v>1643</v>
      </c>
      <c r="B1641">
        <v>34.153973299999997</v>
      </c>
      <c r="C1641">
        <v>-118.4652732</v>
      </c>
      <c r="D1641" t="str">
        <f>HYPERLINK("https://streetviewpixels-pa.googleapis.com/v1/thumbnail?panoid=cd6gYGpwKLuVWH5SFYmqRw&amp;cb_client=search.gws-prod.gps&amp;w=408&amp;h=240&amp;yaw=340.0864&amp;pitch=0&amp;thumbfov=100", "link")</f>
        <v>link</v>
      </c>
    </row>
    <row r="1642" spans="1:4" x14ac:dyDescent="0.45">
      <c r="A1642" t="s">
        <v>1644</v>
      </c>
      <c r="B1642">
        <v>34.153403699999899</v>
      </c>
      <c r="C1642">
        <v>-118.4651405</v>
      </c>
      <c r="D1642" t="str">
        <f>HYPERLINK("https://streetviewpixels-pa.googleapis.com/v1/thumbnail?panoid=DPN-x4zswImT83MC-bBOVw&amp;cb_client=search.gws-prod.gps&amp;w=408&amp;h=240&amp;yaw=196.21205&amp;pitch=0&amp;thumbfov=100", "link")</f>
        <v>link</v>
      </c>
    </row>
    <row r="1643" spans="1:4" x14ac:dyDescent="0.45">
      <c r="A1643" t="s">
        <v>1645</v>
      </c>
      <c r="B1643">
        <v>34.153269299999998</v>
      </c>
      <c r="C1643">
        <v>-118.465147</v>
      </c>
      <c r="D1643" t="str">
        <f>HYPERLINK("https://streetviewpixels-pa.googleapis.com/v1/thumbnail?panoid=DPN-x4zswImT83MC-bBOVw&amp;cb_client=search.gws-prod.gps&amp;w=408&amp;h=240&amp;yaw=196.21205&amp;pitch=0&amp;thumbfov=100", "link")</f>
        <v>link</v>
      </c>
    </row>
    <row r="1644" spans="1:4" x14ac:dyDescent="0.45">
      <c r="A1644" t="s">
        <v>1646</v>
      </c>
      <c r="B1644">
        <v>34.163757299999901</v>
      </c>
      <c r="C1644">
        <v>-118.4922332</v>
      </c>
      <c r="D1644" t="str">
        <f>HYPERLINK("https://lh5.googleusercontent.com/p/AF1QipPXXCiXIkX2vaGQ4HGOd_JABZ1TmtO5n2FWHpmY=w408-h544-k-no", "link")</f>
        <v>link</v>
      </c>
    </row>
    <row r="1645" spans="1:4" x14ac:dyDescent="0.45">
      <c r="A1645" t="s">
        <v>1647</v>
      </c>
      <c r="B1645">
        <v>34.153837799999998</v>
      </c>
      <c r="C1645">
        <v>-118.4638092</v>
      </c>
      <c r="D1645" t="str">
        <f>HYPERLINK("https://streetviewpixels-pa.googleapis.com/v1/thumbnail?panoid=utm0mr9q4ieg5ezbwq1SaQ&amp;cb_client=search.gws-prod.gps&amp;w=408&amp;h=240&amp;yaw=24.798172&amp;pitch=0&amp;thumbfov=100", "link")</f>
        <v>link</v>
      </c>
    </row>
    <row r="1646" spans="1:4" x14ac:dyDescent="0.45">
      <c r="A1646" t="s">
        <v>1648</v>
      </c>
      <c r="B1646">
        <v>34.153662799999999</v>
      </c>
      <c r="C1646">
        <v>-118.46349379999999</v>
      </c>
      <c r="D1646" t="str">
        <f>HYPERLINK("https://streetviewpixels-pa.googleapis.com/v1/thumbnail?panoid=utm0mr9q4ieg5ezbwq1SaQ&amp;cb_client=search.gws-prod.gps&amp;w=408&amp;h=240&amp;yaw=24.798172&amp;pitch=0&amp;thumbfov=100", "link")</f>
        <v>link</v>
      </c>
    </row>
    <row r="1647" spans="1:4" x14ac:dyDescent="0.45">
      <c r="A1647" t="s">
        <v>1649</v>
      </c>
      <c r="B1647">
        <v>34.158777999999998</v>
      </c>
      <c r="C1647">
        <v>-118.49599480000001</v>
      </c>
      <c r="D1647" t="str">
        <f>HYPERLINK("https://streetviewpixels-pa.googleapis.com/v1/thumbnail?panoid=IvcnjchNSm6eK9O_9mjxjg&amp;cb_client=search.gws-prod.gps&amp;w=408&amp;h=240&amp;yaw=254.78448&amp;pitch=0&amp;thumbfov=100", "link")</f>
        <v>link</v>
      </c>
    </row>
    <row r="1648" spans="1:4" x14ac:dyDescent="0.45">
      <c r="A1648" t="s">
        <v>1650</v>
      </c>
      <c r="B1648">
        <v>34.1652293</v>
      </c>
      <c r="C1648">
        <v>-118.4666356</v>
      </c>
      <c r="D1648" t="str">
        <f>HYPERLINK("https://streetviewpixels-pa.googleapis.com/v1/thumbnail?panoid=Q3RhuHU6AnWi7_8W0OWcrQ&amp;cb_client=search.gws-prod.gps&amp;w=408&amp;h=240&amp;yaw=252.87312&amp;pitch=0&amp;thumbfov=100", "link")</f>
        <v>link</v>
      </c>
    </row>
    <row r="1649" spans="1:4" x14ac:dyDescent="0.45">
      <c r="A1649" t="s">
        <v>1651</v>
      </c>
      <c r="B1649">
        <v>34.165246499999903</v>
      </c>
      <c r="C1649">
        <v>-118.46648380000001</v>
      </c>
      <c r="D1649" t="str">
        <f>HYPERLINK("https://streetviewpixels-pa.googleapis.com/v1/thumbnail?panoid=Q3RhuHU6AnWi7_8W0OWcrQ&amp;cb_client=search.gws-prod.gps&amp;w=408&amp;h=240&amp;yaw=252.87312&amp;pitch=0&amp;thumbfov=100", "link")</f>
        <v>link</v>
      </c>
    </row>
    <row r="1650" spans="1:4" x14ac:dyDescent="0.45">
      <c r="A1650" t="s">
        <v>1652</v>
      </c>
      <c r="B1650">
        <v>34.153326999999997</v>
      </c>
      <c r="C1650">
        <v>-118.461491</v>
      </c>
      <c r="D1650" t="str">
        <f>HYPERLINK("https://streetviewpixels-pa.googleapis.com/v1/thumbnail?panoid=eXJSjl2v6ETxZbXae2wV7g&amp;cb_client=search.gws-prod.gps&amp;w=408&amp;h=240&amp;yaw=0.26425818&amp;pitch=0&amp;thumbfov=100", "link")</f>
        <v>link</v>
      </c>
    </row>
    <row r="1651" spans="1:4" x14ac:dyDescent="0.45">
      <c r="A1651" t="s">
        <v>1653</v>
      </c>
      <c r="B1651">
        <v>34.152662100000001</v>
      </c>
      <c r="C1651">
        <v>-118.46160639999999</v>
      </c>
      <c r="D1651" t="str">
        <f>HYPERLINK("https://streetviewpixels-pa.googleapis.com/v1/thumbnail?panoid=ckoHQ9oeWZgSP4iRS4tZ4Q&amp;cb_client=search.gws-prod.gps&amp;w=408&amp;h=240&amp;yaw=97.53067&amp;pitch=0&amp;thumbfov=100", "link")</f>
        <v>link</v>
      </c>
    </row>
    <row r="1652" spans="1:4" x14ac:dyDescent="0.45">
      <c r="A1652" t="s">
        <v>1654</v>
      </c>
      <c r="B1652">
        <v>34.1526487</v>
      </c>
      <c r="C1652">
        <v>-118.4615125</v>
      </c>
      <c r="D1652" t="str">
        <f>HYPERLINK("https://streetviewpixels-pa.googleapis.com/v1/thumbnail?panoid=ckoHQ9oeWZgSP4iRS4tZ4Q&amp;cb_client=search.gws-prod.gps&amp;w=408&amp;h=240&amp;yaw=97.546&amp;pitch=0&amp;thumbfov=100", "link")</f>
        <v>link</v>
      </c>
    </row>
    <row r="1653" spans="1:4" x14ac:dyDescent="0.45">
      <c r="A1653" t="s">
        <v>1655</v>
      </c>
      <c r="B1653">
        <v>34.172091999999999</v>
      </c>
      <c r="C1653">
        <v>-118.4756261</v>
      </c>
      <c r="D1653" t="str">
        <f>HYPERLINK("https://streetviewpixels-pa.googleapis.com/v1/thumbnail?panoid=SdfP6nbDtLVZdFA51q8n0g&amp;cb_client=search.gws-prod.gps&amp;w=408&amp;h=240&amp;yaw=336.65155&amp;pitch=0&amp;thumbfov=100", "link")</f>
        <v>link</v>
      </c>
    </row>
    <row r="1654" spans="1:4" x14ac:dyDescent="0.45">
      <c r="A1654" t="s">
        <v>1656</v>
      </c>
      <c r="B1654">
        <v>34.1588323</v>
      </c>
      <c r="C1654">
        <v>-118.50077899999999</v>
      </c>
      <c r="D1654" t="str">
        <f>HYPERLINK("https://lh5.googleusercontent.com/p/AF1QipOwWfIQF6ERj4hRqXNP3RhfscNYO-toUGeUozfc=w408-h306-k-no", "link")</f>
        <v>link</v>
      </c>
    </row>
    <row r="1655" spans="1:4" x14ac:dyDescent="0.45">
      <c r="A1655" t="s">
        <v>1657</v>
      </c>
      <c r="B1655">
        <v>34.155352200000003</v>
      </c>
      <c r="C1655">
        <v>-118.4797896</v>
      </c>
      <c r="D1655" t="str">
        <f>HYPERLINK("https://streetviewpixels-pa.googleapis.com/v1/thumbnail?panoid=vgBzxg6VJw4dq1FHvefNjw&amp;cb_client=search.gws-prod.gps&amp;w=408&amp;h=240&amp;yaw=170.39438&amp;pitch=0&amp;thumbfov=100", "link")</f>
        <v>link</v>
      </c>
    </row>
    <row r="1656" spans="1:4" x14ac:dyDescent="0.45">
      <c r="A1656" t="s">
        <v>1658</v>
      </c>
      <c r="B1656">
        <v>34.155462299999897</v>
      </c>
      <c r="C1656">
        <v>-118.4798569</v>
      </c>
      <c r="D1656" t="str">
        <f>HYPERLINK("https://streetviewpixels-pa.googleapis.com/v1/thumbnail?panoid=vgBzxg6VJw4dq1FHvefNjw&amp;cb_client=search.gws-prod.gps&amp;w=408&amp;h=240&amp;yaw=170.39438&amp;pitch=0&amp;thumbfov=100", "link")</f>
        <v>link</v>
      </c>
    </row>
    <row r="1657" spans="1:4" x14ac:dyDescent="0.45">
      <c r="A1657" t="s">
        <v>1659</v>
      </c>
      <c r="B1657">
        <v>34.156021299999999</v>
      </c>
      <c r="C1657">
        <v>-118.4781863</v>
      </c>
      <c r="D1657" t="s">
        <v>5</v>
      </c>
    </row>
    <row r="1658" spans="1:4" x14ac:dyDescent="0.45">
      <c r="A1658" t="s">
        <v>1660</v>
      </c>
      <c r="B1658">
        <v>34.155568700000003</v>
      </c>
      <c r="C1658">
        <v>-118.4815741</v>
      </c>
      <c r="D1658" t="s">
        <v>5</v>
      </c>
    </row>
    <row r="1659" spans="1:4" x14ac:dyDescent="0.45">
      <c r="A1659" t="s">
        <v>1661</v>
      </c>
      <c r="B1659">
        <v>34.155886099999996</v>
      </c>
      <c r="C1659">
        <v>-118.4819255</v>
      </c>
      <c r="D1659" t="str">
        <f>HYPERLINK("https://streetviewpixels-pa.googleapis.com/v1/thumbnail?panoid=O9ujW0DZVfc58_WiKxBEeg&amp;cb_client=search.gws-prod.gps&amp;w=408&amp;h=240&amp;yaw=214.22745&amp;pitch=0&amp;thumbfov=100", "link")</f>
        <v>link</v>
      </c>
    </row>
    <row r="1660" spans="1:4" x14ac:dyDescent="0.45">
      <c r="A1660" t="s">
        <v>1662</v>
      </c>
      <c r="B1660">
        <v>34.155783</v>
      </c>
      <c r="C1660">
        <v>-118.4772653</v>
      </c>
      <c r="D1660" t="s">
        <v>5</v>
      </c>
    </row>
    <row r="1661" spans="1:4" x14ac:dyDescent="0.45">
      <c r="A1661" t="s">
        <v>1663</v>
      </c>
      <c r="B1661">
        <v>34.156008100000001</v>
      </c>
      <c r="C1661">
        <v>-118.4824484</v>
      </c>
      <c r="D1661" t="s">
        <v>5</v>
      </c>
    </row>
    <row r="1662" spans="1:4" x14ac:dyDescent="0.45">
      <c r="A1662" t="s">
        <v>1664</v>
      </c>
      <c r="B1662">
        <v>34.157327100000003</v>
      </c>
      <c r="C1662">
        <v>-118.4820232</v>
      </c>
      <c r="D1662" t="str">
        <f>HYPERLINK("https://streetviewpixels-pa.googleapis.com/v1/thumbnail?panoid=QrE0RKkbavH4eCO2xwjrFw&amp;cb_client=search.gws-prod.gps&amp;w=408&amp;h=240&amp;yaw=283.65765&amp;pitch=0&amp;thumbfov=100", "link")</f>
        <v>link</v>
      </c>
    </row>
    <row r="1663" spans="1:4" x14ac:dyDescent="0.45">
      <c r="A1663" t="s">
        <v>1665</v>
      </c>
      <c r="B1663">
        <v>34.154977199999998</v>
      </c>
      <c r="C1663">
        <v>-118.4763349</v>
      </c>
      <c r="D1663" t="str">
        <f>HYPERLINK("https://streetviewpixels-pa.googleapis.com/v1/thumbnail?panoid=64pIx5HnpJKOEo_SSReDNw&amp;cb_client=search.gws-prod.gps&amp;w=408&amp;h=240&amp;yaw=184.23228&amp;pitch=0&amp;thumbfov=100", "link")</f>
        <v>link</v>
      </c>
    </row>
    <row r="1664" spans="1:4" x14ac:dyDescent="0.45">
      <c r="A1664" t="s">
        <v>1666</v>
      </c>
      <c r="B1664">
        <v>34.155902599999997</v>
      </c>
      <c r="C1664">
        <v>-118.4850277</v>
      </c>
      <c r="D1664" t="s">
        <v>5</v>
      </c>
    </row>
    <row r="1665" spans="1:4" x14ac:dyDescent="0.45">
      <c r="A1665" t="s">
        <v>1667</v>
      </c>
      <c r="B1665">
        <v>34.156218099999997</v>
      </c>
      <c r="C1665">
        <v>-118.48504149999999</v>
      </c>
      <c r="D1665" t="str">
        <f>HYPERLINK("https://streetviewpixels-pa.googleapis.com/v1/thumbnail?panoid=KiZwRucXo0DG4OiyiRQuVQ&amp;cb_client=search.gws-prod.gps&amp;w=408&amp;h=240&amp;yaw=202.27818&amp;pitch=0&amp;thumbfov=100", "link")</f>
        <v>link</v>
      </c>
    </row>
    <row r="1666" spans="1:4" x14ac:dyDescent="0.45">
      <c r="A1666" t="s">
        <v>1668</v>
      </c>
      <c r="B1666">
        <v>34.157011900000001</v>
      </c>
      <c r="C1666">
        <v>-118.4849189</v>
      </c>
      <c r="D1666" t="str">
        <f>HYPERLINK("https://streetviewpixels-pa.googleapis.com/v1/thumbnail?panoid=Rr27-Y-JAs9r94417u6LIg&amp;cb_client=search.gws-prod.gps&amp;w=408&amp;h=240&amp;yaw=16.850748&amp;pitch=0&amp;thumbfov=100", "link")</f>
        <v>link</v>
      </c>
    </row>
    <row r="1667" spans="1:4" x14ac:dyDescent="0.45">
      <c r="A1667" t="s">
        <v>1669</v>
      </c>
      <c r="B1667">
        <v>34.156213299999997</v>
      </c>
      <c r="C1667">
        <v>-118.4854586</v>
      </c>
      <c r="D1667" t="str">
        <f>HYPERLINK("https://streetviewpixels-pa.googleapis.com/v1/thumbnail?panoid=hiQWpEK_KherMwhG6sPssg&amp;cb_client=search.gws-prod.gps&amp;w=408&amp;h=240&amp;yaw=181.28758&amp;pitch=0&amp;thumbfov=100", "link")</f>
        <v>link</v>
      </c>
    </row>
    <row r="1668" spans="1:4" x14ac:dyDescent="0.45">
      <c r="A1668" t="s">
        <v>1670</v>
      </c>
      <c r="B1668">
        <v>34.156548700000002</v>
      </c>
      <c r="C1668">
        <v>-118.48726499999999</v>
      </c>
      <c r="D1668" t="str">
        <f>HYPERLINK("https://streetviewpixels-pa.googleapis.com/v1/thumbnail?panoid=ucfxGtvbK7kZqg_Fyj0-KQ&amp;cb_client=search.gws-prod.gps&amp;w=408&amp;h=240&amp;yaw=205.08418&amp;pitch=0&amp;thumbfov=100", "link")</f>
        <v>link</v>
      </c>
    </row>
    <row r="1669" spans="1:4" x14ac:dyDescent="0.45">
      <c r="A1669" t="s">
        <v>1671</v>
      </c>
      <c r="B1669">
        <v>34.157293199999998</v>
      </c>
      <c r="C1669">
        <v>-118.4878111</v>
      </c>
      <c r="D1669" t="str">
        <f>HYPERLINK("https://streetviewpixels-pa.googleapis.com/v1/thumbnail?panoid=UQt4vP64lN1fWe8FMkXyeg&amp;cb_client=search.gws-prod.gps&amp;w=408&amp;h=240&amp;yaw=98.43697&amp;pitch=0&amp;thumbfov=100", "link")</f>
        <v>link</v>
      </c>
    </row>
    <row r="1670" spans="1:4" x14ac:dyDescent="0.45">
      <c r="A1670" t="s">
        <v>1672</v>
      </c>
      <c r="B1670">
        <v>34.154268999999999</v>
      </c>
      <c r="C1670">
        <v>-118.4707116</v>
      </c>
      <c r="D1670" t="str">
        <f>HYPERLINK("https://streetviewpixels-pa.googleapis.com/v1/thumbnail?panoid=AardsznZDIFyBomXc1zipQ&amp;cb_client=search.gws-prod.gps&amp;w=408&amp;h=240&amp;yaw=7.1357284&amp;pitch=0&amp;thumbfov=100", "link")</f>
        <v>link</v>
      </c>
    </row>
    <row r="1671" spans="1:4" x14ac:dyDescent="0.45">
      <c r="A1671" t="s">
        <v>1673</v>
      </c>
      <c r="B1671">
        <v>34.157251899999999</v>
      </c>
      <c r="C1671">
        <v>-118.46807130000001</v>
      </c>
      <c r="D1671" t="str">
        <f>HYPERLINK("https://streetviewpixels-pa.googleapis.com/v1/thumbnail?panoid=ISNTmb9psKY4YwIr0hyAjA&amp;cb_client=search.gws-prod.gps&amp;w=408&amp;h=240&amp;yaw=81.005356&amp;pitch=0&amp;thumbfov=100", "link")</f>
        <v>link</v>
      </c>
    </row>
    <row r="1672" spans="1:4" x14ac:dyDescent="0.45">
      <c r="A1672" t="s">
        <v>1674</v>
      </c>
      <c r="B1672">
        <v>34.1569608</v>
      </c>
      <c r="C1672">
        <v>-118.46768489999999</v>
      </c>
      <c r="D1672" t="str">
        <f>HYPERLINK("https://lh5.googleusercontent.com/p/AF1QipOALWak3BOmtLTTJvNnYjI208wKVRipIvkguORF=w408-h306-k-no", "link")</f>
        <v>link</v>
      </c>
    </row>
    <row r="1673" spans="1:4" x14ac:dyDescent="0.45">
      <c r="A1673" t="s">
        <v>1675</v>
      </c>
      <c r="B1673">
        <v>34.158121299999998</v>
      </c>
      <c r="C1673">
        <v>-118.4921889</v>
      </c>
      <c r="D1673" t="str">
        <f>HYPERLINK("https://streetviewpixels-pa.googleapis.com/v1/thumbnail?panoid=j0n2PpTF157HyyYKsNWXrA&amp;cb_client=search.gws-prod.gps&amp;w=408&amp;h=240&amp;yaw=269.75327&amp;pitch=0&amp;thumbfov=100", "link")</f>
        <v>link</v>
      </c>
    </row>
    <row r="1674" spans="1:4" x14ac:dyDescent="0.45">
      <c r="A1674" t="s">
        <v>1676</v>
      </c>
      <c r="B1674">
        <v>34.153282799999999</v>
      </c>
      <c r="C1674">
        <v>-118.4669841</v>
      </c>
      <c r="D1674" t="str">
        <f>HYPERLINK("https://streetviewpixels-pa.googleapis.com/v1/thumbnail?panoid=Bnd-nKr8sc6e4OFOKzTRiA&amp;cb_client=search.gws-prod.gps&amp;w=408&amp;h=240&amp;yaw=253.9819&amp;pitch=0&amp;thumbfov=100", "link")</f>
        <v>link</v>
      </c>
    </row>
    <row r="1675" spans="1:4" x14ac:dyDescent="0.45">
      <c r="A1675" t="s">
        <v>1677</v>
      </c>
      <c r="B1675">
        <v>34.168744199999999</v>
      </c>
      <c r="C1675">
        <v>-118.49615850000001</v>
      </c>
      <c r="D1675" t="s">
        <v>5</v>
      </c>
    </row>
    <row r="1676" spans="1:4" x14ac:dyDescent="0.45">
      <c r="A1676" t="s">
        <v>1678</v>
      </c>
      <c r="B1676">
        <v>34.168851699999998</v>
      </c>
      <c r="C1676">
        <v>-118.4963826</v>
      </c>
      <c r="D1676" t="s">
        <v>5</v>
      </c>
    </row>
    <row r="1677" spans="1:4" x14ac:dyDescent="0.45">
      <c r="A1677" t="s">
        <v>1679</v>
      </c>
      <c r="B1677">
        <v>34.169552299999999</v>
      </c>
      <c r="C1677">
        <v>-118.5018149</v>
      </c>
      <c r="D1677" t="s">
        <v>5</v>
      </c>
    </row>
    <row r="1678" spans="1:4" x14ac:dyDescent="0.45">
      <c r="A1678" t="s">
        <v>1680</v>
      </c>
      <c r="B1678">
        <v>34.169777699999997</v>
      </c>
      <c r="C1678">
        <v>-118.5018075</v>
      </c>
      <c r="D1678" t="s">
        <v>5</v>
      </c>
    </row>
    <row r="1679" spans="1:4" x14ac:dyDescent="0.45">
      <c r="A1679" t="s">
        <v>1681</v>
      </c>
      <c r="B1679">
        <v>34.171107499999998</v>
      </c>
      <c r="C1679">
        <v>-118.4980606</v>
      </c>
      <c r="D1679" t="s">
        <v>5</v>
      </c>
    </row>
    <row r="1680" spans="1:4" x14ac:dyDescent="0.45">
      <c r="A1680" t="s">
        <v>1682</v>
      </c>
      <c r="B1680">
        <v>34.171260599999997</v>
      </c>
      <c r="C1680">
        <v>-118.49789199999999</v>
      </c>
      <c r="D1680" t="s">
        <v>5</v>
      </c>
    </row>
    <row r="1681" spans="1:4" x14ac:dyDescent="0.45">
      <c r="A1681" t="s">
        <v>1683</v>
      </c>
      <c r="B1681">
        <v>34.161051499999999</v>
      </c>
      <c r="C1681">
        <v>-118.51232880000001</v>
      </c>
      <c r="D1681" t="s">
        <v>5</v>
      </c>
    </row>
    <row r="1682" spans="1:4" x14ac:dyDescent="0.45">
      <c r="A1682" t="s">
        <v>1684</v>
      </c>
      <c r="B1682">
        <v>34.172602300000001</v>
      </c>
      <c r="C1682">
        <v>-118.50336729999999</v>
      </c>
      <c r="D1682" t="s">
        <v>5</v>
      </c>
    </row>
    <row r="1683" spans="1:4" x14ac:dyDescent="0.45">
      <c r="A1683" t="s">
        <v>1685</v>
      </c>
      <c r="B1683">
        <v>34.174271300000001</v>
      </c>
      <c r="C1683">
        <v>-118.482473</v>
      </c>
      <c r="D1683" t="s">
        <v>5</v>
      </c>
    </row>
    <row r="1684" spans="1:4" x14ac:dyDescent="0.45">
      <c r="A1684" t="s">
        <v>1686</v>
      </c>
      <c r="B1684">
        <v>34.176300699999999</v>
      </c>
      <c r="C1684">
        <v>-118.5029097</v>
      </c>
      <c r="D1684" t="s">
        <v>5</v>
      </c>
    </row>
    <row r="1685" spans="1:4" x14ac:dyDescent="0.45">
      <c r="A1685" t="s">
        <v>1687</v>
      </c>
      <c r="B1685">
        <v>34.178442799999999</v>
      </c>
      <c r="C1685">
        <v>-118.494828</v>
      </c>
      <c r="D1685" t="s">
        <v>5</v>
      </c>
    </row>
    <row r="1686" spans="1:4" x14ac:dyDescent="0.45">
      <c r="A1686" t="s">
        <v>1688</v>
      </c>
      <c r="B1686">
        <v>34.178486100000001</v>
      </c>
      <c r="C1686">
        <v>-118.4948813</v>
      </c>
      <c r="D1686" t="s">
        <v>5</v>
      </c>
    </row>
    <row r="1687" spans="1:4" x14ac:dyDescent="0.45">
      <c r="A1687" t="s">
        <v>1689</v>
      </c>
      <c r="B1687">
        <v>34.159567299999999</v>
      </c>
      <c r="C1687">
        <v>-118.50343410000001</v>
      </c>
      <c r="D1687" t="str">
        <f>HYPERLINK("https://streetviewpixels-pa.googleapis.com/v1/thumbnail?panoid=o8DmVb9FEbtUd-6if275hA&amp;cb_client=search.gws-prod.gps&amp;w=408&amp;h=240&amp;yaw=195.18137&amp;pitch=0&amp;thumbfov=100", "link")</f>
        <v>link</v>
      </c>
    </row>
    <row r="1688" spans="1:4" x14ac:dyDescent="0.45">
      <c r="A1688" t="s">
        <v>1690</v>
      </c>
      <c r="B1688">
        <v>34.151641799999901</v>
      </c>
      <c r="C1688">
        <v>-118.4547699</v>
      </c>
      <c r="D1688" t="str">
        <f>HYPERLINK("https://streetviewpixels-pa.googleapis.com/v1/thumbnail?panoid=WBi0Q--I-FIXS5K2JrRHOA&amp;cb_client=search.gws-prod.gps&amp;w=408&amp;h=240&amp;yaw=211.61398&amp;pitch=0&amp;thumbfov=100", "link")</f>
        <v>link</v>
      </c>
    </row>
    <row r="1689" spans="1:4" x14ac:dyDescent="0.45">
      <c r="A1689" t="s">
        <v>1691</v>
      </c>
      <c r="B1689">
        <v>34.178960799999999</v>
      </c>
      <c r="C1689">
        <v>-118.50154120000001</v>
      </c>
      <c r="D1689" t="s">
        <v>5</v>
      </c>
    </row>
    <row r="1690" spans="1:4" x14ac:dyDescent="0.45">
      <c r="A1690" t="s">
        <v>1692</v>
      </c>
      <c r="B1690">
        <v>34.181077500000001</v>
      </c>
      <c r="C1690">
        <v>-118.4985306</v>
      </c>
      <c r="D1690" t="s">
        <v>5</v>
      </c>
    </row>
    <row r="1691" spans="1:4" x14ac:dyDescent="0.45">
      <c r="A1691" t="s">
        <v>1693</v>
      </c>
      <c r="B1691">
        <v>34.180546200000002</v>
      </c>
      <c r="C1691">
        <v>-118.507047</v>
      </c>
      <c r="D1691" t="s">
        <v>5</v>
      </c>
    </row>
    <row r="1692" spans="1:4" x14ac:dyDescent="0.45">
      <c r="A1692" t="s">
        <v>1694</v>
      </c>
      <c r="B1692">
        <v>34.1819755</v>
      </c>
      <c r="C1692">
        <v>-118.4997166</v>
      </c>
      <c r="D1692" t="s">
        <v>5</v>
      </c>
    </row>
    <row r="1693" spans="1:4" x14ac:dyDescent="0.45">
      <c r="A1693" t="s">
        <v>1695</v>
      </c>
      <c r="B1693">
        <v>34.184434000000003</v>
      </c>
      <c r="C1693">
        <v>-118.4918705</v>
      </c>
      <c r="D1693" t="s">
        <v>5</v>
      </c>
    </row>
    <row r="1694" spans="1:4" x14ac:dyDescent="0.45">
      <c r="A1694" t="s">
        <v>1696</v>
      </c>
      <c r="B1694">
        <v>34.184096400000001</v>
      </c>
      <c r="C1694">
        <v>-118.5029272</v>
      </c>
      <c r="D1694" t="str">
        <f>HYPERLINK("https://lh5.googleusercontent.com/p/AF1QipNxpU3wwSCj7Flu6a6Q3goZG4FMPXJHCbAtkk30=w408-h544-k-no", "link")</f>
        <v>link</v>
      </c>
    </row>
    <row r="1695" spans="1:4" x14ac:dyDescent="0.45">
      <c r="A1695" t="s">
        <v>1697</v>
      </c>
      <c r="B1695">
        <v>34.186353099999998</v>
      </c>
      <c r="C1695">
        <v>-118.50008149999999</v>
      </c>
      <c r="D1695" t="str">
        <f>HYPERLINK("https://lh5.googleusercontent.com/p/AF1QipPAv-0n05OvzwkrEVhCNevrIDyttPAZz4jL6TDO=w426-h240-k-no", "link")</f>
        <v>link</v>
      </c>
    </row>
    <row r="1696" spans="1:4" x14ac:dyDescent="0.45">
      <c r="A1696" t="s">
        <v>1698</v>
      </c>
      <c r="B1696">
        <v>34.1829538</v>
      </c>
      <c r="C1696">
        <v>-118.4833398</v>
      </c>
      <c r="D1696" t="s">
        <v>5</v>
      </c>
    </row>
    <row r="1697" spans="1:4" x14ac:dyDescent="0.45">
      <c r="A1697" t="s">
        <v>1699</v>
      </c>
      <c r="B1697">
        <v>34.186881</v>
      </c>
      <c r="C1697">
        <v>-118.4864419</v>
      </c>
      <c r="D1697" t="s">
        <v>5</v>
      </c>
    </row>
    <row r="1698" spans="1:4" x14ac:dyDescent="0.45">
      <c r="A1698" t="s">
        <v>1700</v>
      </c>
      <c r="B1698">
        <v>34.165232000000003</v>
      </c>
      <c r="C1698">
        <v>-118.5272559</v>
      </c>
      <c r="D1698" t="s">
        <v>5</v>
      </c>
    </row>
    <row r="1699" spans="1:4" x14ac:dyDescent="0.45">
      <c r="A1699" t="s">
        <v>1701</v>
      </c>
      <c r="B1699">
        <v>34.181138599999997</v>
      </c>
      <c r="C1699">
        <v>-118.5109377</v>
      </c>
      <c r="D1699" t="s">
        <v>5</v>
      </c>
    </row>
    <row r="1700" spans="1:4" x14ac:dyDescent="0.45">
      <c r="A1700" t="s">
        <v>1702</v>
      </c>
      <c r="B1700">
        <v>34.1949805</v>
      </c>
      <c r="C1700">
        <v>-118.4921442</v>
      </c>
      <c r="D1700" t="s">
        <v>5</v>
      </c>
    </row>
    <row r="1701" spans="1:4" x14ac:dyDescent="0.45">
      <c r="A1701" t="s">
        <v>1703</v>
      </c>
      <c r="B1701">
        <v>34.194100200000001</v>
      </c>
      <c r="C1701">
        <v>-118.49073009999999</v>
      </c>
      <c r="D1701" t="s">
        <v>5</v>
      </c>
    </row>
    <row r="1702" spans="1:4" x14ac:dyDescent="0.45">
      <c r="A1702" t="s">
        <v>1704</v>
      </c>
      <c r="B1702">
        <v>34.195386399999997</v>
      </c>
      <c r="C1702">
        <v>-118.4916424</v>
      </c>
      <c r="D1702" t="s">
        <v>5</v>
      </c>
    </row>
    <row r="1703" spans="1:4" x14ac:dyDescent="0.45">
      <c r="A1703" t="s">
        <v>1705</v>
      </c>
      <c r="B1703">
        <v>34.196161500000002</v>
      </c>
      <c r="C1703">
        <v>-118.4917337</v>
      </c>
      <c r="D1703" t="s">
        <v>5</v>
      </c>
    </row>
    <row r="1704" spans="1:4" x14ac:dyDescent="0.45">
      <c r="A1704" t="s">
        <v>1706</v>
      </c>
      <c r="B1704">
        <v>34.196468500000002</v>
      </c>
      <c r="C1704">
        <v>-118.49209860000001</v>
      </c>
      <c r="D1704" t="s">
        <v>5</v>
      </c>
    </row>
    <row r="1705" spans="1:4" x14ac:dyDescent="0.45">
      <c r="A1705" t="s">
        <v>1707</v>
      </c>
      <c r="B1705">
        <v>34.190972599999903</v>
      </c>
      <c r="C1705">
        <v>-118.4852085</v>
      </c>
      <c r="D1705" t="s">
        <v>5</v>
      </c>
    </row>
    <row r="1706" spans="1:4" x14ac:dyDescent="0.45">
      <c r="A1706" t="s">
        <v>1708</v>
      </c>
      <c r="B1706">
        <v>34.194353999999997</v>
      </c>
      <c r="C1706">
        <v>-118.48703500000001</v>
      </c>
      <c r="D1706" t="s">
        <v>5</v>
      </c>
    </row>
    <row r="1707" spans="1:4" x14ac:dyDescent="0.45">
      <c r="A1707" t="s">
        <v>1709</v>
      </c>
      <c r="B1707">
        <v>34.200106699999999</v>
      </c>
      <c r="C1707">
        <v>-118.5095986</v>
      </c>
      <c r="D1707" t="str">
        <f>HYPERLINK("https://streetviewpixels-pa.googleapis.com/v1/thumbnail?panoid=H_diDl7A7J3mb79_1Mx39Q&amp;cb_client=search.gws-prod.gps&amp;w=408&amp;h=240&amp;yaw=185.58191&amp;pitch=0&amp;thumbfov=100", "link")</f>
        <v>link</v>
      </c>
    </row>
    <row r="1708" spans="1:4" x14ac:dyDescent="0.45">
      <c r="A1708" t="s">
        <v>1710</v>
      </c>
      <c r="B1708">
        <v>34.198197399999998</v>
      </c>
      <c r="C1708">
        <v>-118.4914143</v>
      </c>
      <c r="D1708" t="s">
        <v>5</v>
      </c>
    </row>
    <row r="1709" spans="1:4" x14ac:dyDescent="0.45">
      <c r="A1709" t="s">
        <v>1711</v>
      </c>
      <c r="B1709">
        <v>34.198584199999999</v>
      </c>
      <c r="C1709">
        <v>-118.4917793</v>
      </c>
      <c r="D1709" t="s">
        <v>5</v>
      </c>
    </row>
    <row r="1710" spans="1:4" x14ac:dyDescent="0.45">
      <c r="A1710" t="s">
        <v>1712</v>
      </c>
      <c r="B1710">
        <v>34.194697699999999</v>
      </c>
      <c r="C1710">
        <v>-118.4863051</v>
      </c>
      <c r="D1710" t="s">
        <v>5</v>
      </c>
    </row>
    <row r="1711" spans="1:4" x14ac:dyDescent="0.45">
      <c r="A1711" t="s">
        <v>1713</v>
      </c>
      <c r="B1711">
        <v>34.199006300000001</v>
      </c>
      <c r="C1711">
        <v>-118.491688</v>
      </c>
      <c r="D1711" t="s">
        <v>5</v>
      </c>
    </row>
    <row r="1712" spans="1:4" x14ac:dyDescent="0.45">
      <c r="A1712" t="s">
        <v>1714</v>
      </c>
      <c r="B1712">
        <v>34.194931799999999</v>
      </c>
      <c r="C1712">
        <v>-118.48616819999999</v>
      </c>
      <c r="D1712" t="s">
        <v>5</v>
      </c>
    </row>
    <row r="1713" spans="1:4" x14ac:dyDescent="0.45">
      <c r="A1713" t="s">
        <v>1715</v>
      </c>
      <c r="B1713">
        <v>34.185907</v>
      </c>
      <c r="C1713">
        <v>-118.5110973</v>
      </c>
      <c r="D1713" t="s">
        <v>5</v>
      </c>
    </row>
    <row r="1714" spans="1:4" x14ac:dyDescent="0.45">
      <c r="A1714" t="s">
        <v>1716</v>
      </c>
      <c r="B1714">
        <v>34.185723799999998</v>
      </c>
      <c r="C1714">
        <v>-118.5125341</v>
      </c>
      <c r="D1714" t="s">
        <v>5</v>
      </c>
    </row>
    <row r="1715" spans="1:4" x14ac:dyDescent="0.45">
      <c r="A1715" t="s">
        <v>1717</v>
      </c>
      <c r="B1715">
        <v>34.185574899999999</v>
      </c>
      <c r="C1715">
        <v>-118.5128078</v>
      </c>
      <c r="D1715" t="s">
        <v>5</v>
      </c>
    </row>
    <row r="1716" spans="1:4" x14ac:dyDescent="0.45">
      <c r="A1716" t="s">
        <v>1718</v>
      </c>
      <c r="B1716">
        <v>34.1859739</v>
      </c>
      <c r="C1716">
        <v>-118.5128078</v>
      </c>
      <c r="D1716" t="s">
        <v>5</v>
      </c>
    </row>
    <row r="1717" spans="1:4" x14ac:dyDescent="0.45">
      <c r="A1717" t="s">
        <v>1719</v>
      </c>
      <c r="B1717">
        <v>34.185356900000002</v>
      </c>
      <c r="C1717">
        <v>-118.5133551</v>
      </c>
      <c r="D1717" t="s">
        <v>5</v>
      </c>
    </row>
    <row r="1718" spans="1:4" x14ac:dyDescent="0.45">
      <c r="A1718" t="s">
        <v>1720</v>
      </c>
      <c r="B1718">
        <v>34.185800399999998</v>
      </c>
      <c r="C1718">
        <v>-118.5155175</v>
      </c>
      <c r="D1718" t="str">
        <f>HYPERLINK("https://streetviewpixels-pa.googleapis.com/v1/thumbnail?panoid=Fp2x7du1qWF1A658LwuUsw&amp;cb_client=search.gws-prod.gps&amp;w=408&amp;h=240&amp;yaw=56.431046&amp;pitch=0&amp;thumbfov=100", "link")</f>
        <v>link</v>
      </c>
    </row>
    <row r="1719" spans="1:4" x14ac:dyDescent="0.45">
      <c r="A1719" t="s">
        <v>1721</v>
      </c>
      <c r="B1719">
        <v>34.190627499999998</v>
      </c>
      <c r="C1719">
        <v>-118.49104939999999</v>
      </c>
      <c r="D1719" t="s">
        <v>5</v>
      </c>
    </row>
    <row r="1720" spans="1:4" x14ac:dyDescent="0.45">
      <c r="A1720" t="s">
        <v>1722</v>
      </c>
      <c r="B1720">
        <v>34.167025500000001</v>
      </c>
      <c r="C1720">
        <v>-118.53208119999999</v>
      </c>
      <c r="D1720" t="str">
        <f>HYPERLINK("https://streetviewpixels-pa.googleapis.com/v1/thumbnail?panoid=24GNAFcQRR4ZqLJDn2Prhw&amp;cb_client=search.gws-prod.gps&amp;w=408&amp;h=240&amp;yaw=64.10164&amp;pitch=0&amp;thumbfov=100", "link")</f>
        <v>link</v>
      </c>
    </row>
    <row r="1721" spans="1:4" x14ac:dyDescent="0.45">
      <c r="A1721" t="s">
        <v>1723</v>
      </c>
      <c r="B1721">
        <v>34.169113699999997</v>
      </c>
      <c r="C1721">
        <v>-118.5311145</v>
      </c>
      <c r="D1721" t="str">
        <f>HYPERLINK("https://streetviewpixels-pa.googleapis.com/v1/thumbnail?panoid=G_sAiX66vEZ3k8Vm6qbpcA&amp;cb_client=search.gws-prod.gps&amp;w=408&amp;h=240&amp;yaw=262.5809&amp;pitch=0&amp;thumbfov=100", "link")</f>
        <v>link</v>
      </c>
    </row>
    <row r="1722" spans="1:4" x14ac:dyDescent="0.45">
      <c r="A1722" t="s">
        <v>1724</v>
      </c>
      <c r="B1722">
        <v>34.168863700000003</v>
      </c>
      <c r="C1722">
        <v>-118.5342756</v>
      </c>
      <c r="D1722" t="str">
        <f>HYPERLINK("https://streetviewpixels-pa.googleapis.com/v1/thumbnail?panoid=WXpgxDpcmhfgeFhtg-J1Fw&amp;cb_client=search.gws-prod.gps&amp;w=408&amp;h=240&amp;yaw=97.56042&amp;pitch=0&amp;thumbfov=100", "link")</f>
        <v>link</v>
      </c>
    </row>
    <row r="1723" spans="1:4" x14ac:dyDescent="0.45">
      <c r="A1723" t="s">
        <v>1725</v>
      </c>
      <c r="B1723">
        <v>34.169706599999998</v>
      </c>
      <c r="C1723">
        <v>-118.534449</v>
      </c>
      <c r="D1723" t="str">
        <f>HYPERLINK("https://streetviewpixels-pa.googleapis.com/v1/thumbnail?panoid=rdb0bTSpkRUApkSKDswgjg&amp;cb_client=search.gws-prod.gps&amp;w=408&amp;h=240&amp;yaw=125.76361&amp;pitch=0&amp;thumbfov=100", "link")</f>
        <v>link</v>
      </c>
    </row>
    <row r="1724" spans="1:4" x14ac:dyDescent="0.45">
      <c r="A1724" t="s">
        <v>1726</v>
      </c>
      <c r="B1724">
        <v>34.1692909</v>
      </c>
      <c r="C1724">
        <v>-118.5348707</v>
      </c>
      <c r="D1724" t="str">
        <f>HYPERLINK("https://streetviewpixels-pa.googleapis.com/v1/thumbnail?panoid=KPbXq4A8scT2M-RiF21CSQ&amp;cb_client=search.gws-prod.gps&amp;w=408&amp;h=240&amp;yaw=140.9831&amp;pitch=0&amp;thumbfov=100", "link")</f>
        <v>link</v>
      </c>
    </row>
    <row r="1725" spans="1:4" x14ac:dyDescent="0.45">
      <c r="A1725" t="s">
        <v>1727</v>
      </c>
      <c r="B1725">
        <v>34.170961599999998</v>
      </c>
      <c r="C1725">
        <v>-118.5331142</v>
      </c>
      <c r="D1725" t="s">
        <v>5</v>
      </c>
    </row>
    <row r="1726" spans="1:4" x14ac:dyDescent="0.45">
      <c r="A1726" t="s">
        <v>1728</v>
      </c>
      <c r="B1726">
        <v>34.1703355</v>
      </c>
      <c r="C1726">
        <v>-118.5410493</v>
      </c>
      <c r="D1726" t="str">
        <f>HYPERLINK("https://streetviewpixels-pa.googleapis.com/v1/thumbnail?panoid=Xf5wH0_0jZ41NAbe2W5keA&amp;cb_client=search.gws-prod.gps&amp;w=408&amp;h=240&amp;yaw=180.79008&amp;pitch=0&amp;thumbfov=100", "link")</f>
        <v>link</v>
      </c>
    </row>
    <row r="1727" spans="1:4" x14ac:dyDescent="0.45">
      <c r="A1727" t="s">
        <v>1729</v>
      </c>
      <c r="B1727">
        <v>34.178918500000002</v>
      </c>
      <c r="C1727">
        <v>-118.5317356</v>
      </c>
      <c r="D1727" t="s">
        <v>5</v>
      </c>
    </row>
    <row r="1728" spans="1:4" x14ac:dyDescent="0.45">
      <c r="A1728" t="s">
        <v>1730</v>
      </c>
      <c r="B1728">
        <v>34.172525999999998</v>
      </c>
      <c r="C1728">
        <v>-118.54277</v>
      </c>
      <c r="D1728" t="str">
        <f>HYPERLINK("https://streetviewpixels-pa.googleapis.com/v1/thumbnail?panoid=uLwi22DS7Pno9ylBp86IEQ&amp;cb_client=search.gws-prod.gps&amp;w=408&amp;h=240&amp;yaw=274.0392&amp;pitch=0&amp;thumbfov=100", "link")</f>
        <v>link</v>
      </c>
    </row>
    <row r="1729" spans="1:4" x14ac:dyDescent="0.45">
      <c r="A1729" t="s">
        <v>1731</v>
      </c>
      <c r="B1729">
        <v>34.180183100000001</v>
      </c>
      <c r="C1729">
        <v>-118.5341528</v>
      </c>
      <c r="D1729" t="s">
        <v>5</v>
      </c>
    </row>
    <row r="1730" spans="1:4" x14ac:dyDescent="0.45">
      <c r="A1730" t="s">
        <v>1732</v>
      </c>
      <c r="B1730">
        <v>34.178762800000001</v>
      </c>
      <c r="C1730">
        <v>-118.5386677</v>
      </c>
      <c r="D1730" t="s">
        <v>5</v>
      </c>
    </row>
    <row r="1731" spans="1:4" x14ac:dyDescent="0.45">
      <c r="A1731" t="s">
        <v>1733</v>
      </c>
      <c r="B1731">
        <v>34.180135300000003</v>
      </c>
      <c r="C1731">
        <v>-118.5370259</v>
      </c>
      <c r="D1731" t="s">
        <v>5</v>
      </c>
    </row>
    <row r="1732" spans="1:4" x14ac:dyDescent="0.45">
      <c r="A1732" t="s">
        <v>1734</v>
      </c>
      <c r="B1732">
        <v>34.180574700000001</v>
      </c>
      <c r="C1732">
        <v>-118.5381204</v>
      </c>
      <c r="D1732" t="str">
        <f>HYPERLINK("https://streetviewpixels-pa.googleapis.com/v1/thumbnail?panoid=-Rrq8ecfn39BjPp48xc-jA&amp;cb_client=search.gws-prod.gps&amp;w=408&amp;h=240&amp;yaw=145.65593&amp;pitch=0&amp;thumbfov=100", "link")</f>
        <v>link</v>
      </c>
    </row>
    <row r="1733" spans="1:4" x14ac:dyDescent="0.45">
      <c r="A1733" t="s">
        <v>1735</v>
      </c>
      <c r="B1733">
        <v>33.889999000000003</v>
      </c>
      <c r="C1733">
        <v>-118.3097246</v>
      </c>
      <c r="D1733" t="str">
        <f>HYPERLINK("https://streetviewpixels-pa.googleapis.com/v1/thumbnail?panoid=_-bz42Tkm45epsfwL1k2UQ&amp;cb_client=search.gws-prod.gps&amp;w=408&amp;h=240&amp;yaw=254.25833&amp;pitch=0&amp;thumbfov=100", "link")</f>
        <v>link</v>
      </c>
    </row>
    <row r="1734" spans="1:4" x14ac:dyDescent="0.45">
      <c r="A1734" t="s">
        <v>1736</v>
      </c>
      <c r="B1734">
        <v>33.8904566</v>
      </c>
      <c r="C1734">
        <v>-118.3079182</v>
      </c>
      <c r="D1734" t="s">
        <v>5</v>
      </c>
    </row>
    <row r="1735" spans="1:4" x14ac:dyDescent="0.45">
      <c r="A1735" t="s">
        <v>1737</v>
      </c>
      <c r="B1735">
        <v>33.887635799999998</v>
      </c>
      <c r="C1735">
        <v>-118.3053551</v>
      </c>
      <c r="D1735" t="str">
        <f>HYPERLINK("https://streetviewpixels-pa.googleapis.com/v1/thumbnail?panoid=emPoEqH6BL9rEUJOQDYidg&amp;cb_client=search.gws-prod.gps&amp;w=408&amp;h=240&amp;yaw=17.511972&amp;pitch=0&amp;thumbfov=100", "link")</f>
        <v>link</v>
      </c>
    </row>
    <row r="1736" spans="1:4" x14ac:dyDescent="0.45">
      <c r="A1736" t="s">
        <v>1738</v>
      </c>
      <c r="B1736">
        <v>33.887078899999999</v>
      </c>
      <c r="C1736">
        <v>-118.3056838</v>
      </c>
      <c r="D1736" t="str">
        <f>HYPERLINK("https://streetviewpixels-pa.googleapis.com/v1/thumbnail?panoid=-CrWikNJt0SHg4_weZm28Q&amp;cb_client=search.gws-prod.gps&amp;w=408&amp;h=240&amp;yaw=222.63066&amp;pitch=0&amp;thumbfov=100", "link")</f>
        <v>link</v>
      </c>
    </row>
    <row r="1737" spans="1:4" x14ac:dyDescent="0.45">
      <c r="A1737" t="s">
        <v>1739</v>
      </c>
      <c r="B1737">
        <v>33.902969200000001</v>
      </c>
      <c r="C1737">
        <v>-118.30884279999999</v>
      </c>
      <c r="D1737" t="s">
        <v>5</v>
      </c>
    </row>
    <row r="1738" spans="1:4" x14ac:dyDescent="0.45">
      <c r="A1738" t="s">
        <v>1740</v>
      </c>
      <c r="B1738">
        <v>33.882163800000001</v>
      </c>
      <c r="C1738">
        <v>-118.3271283</v>
      </c>
      <c r="D1738" t="str">
        <f>HYPERLINK("https://streetviewpixels-pa.googleapis.com/v1/thumbnail?panoid=YybL6OR0uusXY9vZejRNLA&amp;cb_client=search.gws-prod.gps&amp;w=408&amp;h=240&amp;yaw=347.98798&amp;pitch=0&amp;thumbfov=100", "link")</f>
        <v>link</v>
      </c>
    </row>
    <row r="1739" spans="1:4" x14ac:dyDescent="0.45">
      <c r="A1739" t="s">
        <v>1741</v>
      </c>
      <c r="B1739">
        <v>33.883105299999997</v>
      </c>
      <c r="C1739">
        <v>-118.3277482</v>
      </c>
      <c r="D1739" t="s">
        <v>5</v>
      </c>
    </row>
    <row r="1740" spans="1:4" x14ac:dyDescent="0.45">
      <c r="A1740" t="s">
        <v>1742</v>
      </c>
      <c r="B1740">
        <v>33.881926700000001</v>
      </c>
      <c r="C1740">
        <v>-118.3274632</v>
      </c>
      <c r="D1740" t="str">
        <f>HYPERLINK("https://streetviewpixels-pa.googleapis.com/v1/thumbnail?panoid=B4uIbYqIr8cIL4yrgFap-g&amp;cb_client=search.gws-prod.gps&amp;w=408&amp;h=240&amp;yaw=253.80118&amp;pitch=0&amp;thumbfov=100", "link")</f>
        <v>link</v>
      </c>
    </row>
    <row r="1741" spans="1:4" x14ac:dyDescent="0.45">
      <c r="A1741" t="s">
        <v>1743</v>
      </c>
      <c r="B1741">
        <v>33.881387500000002</v>
      </c>
      <c r="C1741">
        <v>-118.32756550000001</v>
      </c>
      <c r="D1741" t="str">
        <f>HYPERLINK("https://streetviewpixels-pa.googleapis.com/v1/thumbnail?panoid=Dp5CL1ynrJQsmwDnJPx_zw&amp;cb_client=search.gws-prod.gps&amp;w=408&amp;h=240&amp;yaw=271.75555&amp;pitch=0&amp;thumbfov=100", "link")</f>
        <v>link</v>
      </c>
    </row>
    <row r="1742" spans="1:4" x14ac:dyDescent="0.45">
      <c r="A1742" t="s">
        <v>1744</v>
      </c>
      <c r="B1742">
        <v>33.8813733</v>
      </c>
      <c r="C1742">
        <v>-118.32760330000001</v>
      </c>
      <c r="D1742" t="str">
        <f>HYPERLINK("https://lh5.googleusercontent.com/p/AF1QipMB_nG1KOmPfW2RuxwZixMa08qRb9nH96KfqkTF=w408-h306-k-no", "link")</f>
        <v>link</v>
      </c>
    </row>
    <row r="1743" spans="1:4" x14ac:dyDescent="0.45">
      <c r="A1743" t="s">
        <v>1745</v>
      </c>
      <c r="B1743">
        <v>33.882186400000002</v>
      </c>
      <c r="C1743">
        <v>-118.3299856</v>
      </c>
      <c r="D1743" t="s">
        <v>5</v>
      </c>
    </row>
    <row r="1744" spans="1:4" x14ac:dyDescent="0.45">
      <c r="A1744" t="s">
        <v>1746</v>
      </c>
      <c r="B1744">
        <v>33.882652499999999</v>
      </c>
      <c r="C1744">
        <v>-118.3321368</v>
      </c>
      <c r="D1744" t="str">
        <f>HYPERLINK("https://streetviewpixels-pa.googleapis.com/v1/thumbnail?panoid=IIhLQmsqOP0DIF56yrzZmg&amp;cb_client=search.gws-prod.gps&amp;w=408&amp;h=240&amp;yaw=257.6302&amp;pitch=0&amp;thumbfov=100", "link")</f>
        <v>link</v>
      </c>
    </row>
    <row r="1745" spans="1:4" x14ac:dyDescent="0.45">
      <c r="A1745" t="s">
        <v>1747</v>
      </c>
      <c r="B1745">
        <v>33.887061799999998</v>
      </c>
      <c r="C1745">
        <v>-118.33277099999999</v>
      </c>
      <c r="D1745" t="s">
        <v>5</v>
      </c>
    </row>
    <row r="1746" spans="1:4" x14ac:dyDescent="0.45">
      <c r="A1746" t="s">
        <v>1748</v>
      </c>
      <c r="B1746">
        <v>33.8868589</v>
      </c>
      <c r="C1746">
        <v>-118.33551060000001</v>
      </c>
      <c r="D1746" t="s">
        <v>5</v>
      </c>
    </row>
    <row r="1747" spans="1:4" x14ac:dyDescent="0.45">
      <c r="A1747" t="s">
        <v>1749</v>
      </c>
      <c r="B1747">
        <v>33.871601200000001</v>
      </c>
      <c r="C1747">
        <v>-118.335465</v>
      </c>
      <c r="D1747" t="s">
        <v>5</v>
      </c>
    </row>
    <row r="1748" spans="1:4" x14ac:dyDescent="0.45">
      <c r="A1748" t="s">
        <v>1750</v>
      </c>
      <c r="B1748">
        <v>33.901453199999999</v>
      </c>
      <c r="C1748">
        <v>-118.28572269999999</v>
      </c>
      <c r="D1748" t="str">
        <f>HYPERLINK("https://lh5.googleusercontent.com/p/AF1QipOGCHFAsavqnRcDoKY4GDUFcmOgFnX6bRWhhaT5=w426-h240-k-no", "link")</f>
        <v>link</v>
      </c>
    </row>
    <row r="1749" spans="1:4" x14ac:dyDescent="0.45">
      <c r="A1749" t="s">
        <v>1751</v>
      </c>
      <c r="B1749">
        <v>33.860573500000001</v>
      </c>
      <c r="C1749">
        <v>-118.3084775</v>
      </c>
      <c r="D1749" t="str">
        <f>HYPERLINK("https://streetviewpixels-pa.googleapis.com/v1/thumbnail?panoid=yhuk_16dvkDuxdco-WHorw&amp;cb_client=search.gws-prod.gps&amp;w=408&amp;h=240&amp;yaw=72.26168&amp;pitch=0&amp;thumbfov=100", "link")</f>
        <v>link</v>
      </c>
    </row>
    <row r="1750" spans="1:4" x14ac:dyDescent="0.45">
      <c r="A1750" t="s">
        <v>1752</v>
      </c>
      <c r="B1750">
        <v>33.853066300000002</v>
      </c>
      <c r="C1750">
        <v>-118.3128615</v>
      </c>
      <c r="D1750" t="s">
        <v>5</v>
      </c>
    </row>
    <row r="1751" spans="1:4" x14ac:dyDescent="0.45">
      <c r="A1751" t="s">
        <v>1753</v>
      </c>
      <c r="B1751">
        <v>33.847086900000001</v>
      </c>
      <c r="C1751">
        <v>-118.31304419999999</v>
      </c>
      <c r="D1751" t="s">
        <v>5</v>
      </c>
    </row>
    <row r="1752" spans="1:4" x14ac:dyDescent="0.45">
      <c r="A1752" t="s">
        <v>1754</v>
      </c>
      <c r="B1752">
        <v>33.8611279</v>
      </c>
      <c r="C1752">
        <v>-118.3187981</v>
      </c>
      <c r="D1752" t="s">
        <v>5</v>
      </c>
    </row>
    <row r="1753" spans="1:4" x14ac:dyDescent="0.45">
      <c r="A1753" t="s">
        <v>1755</v>
      </c>
      <c r="B1753">
        <v>33.851770399999999</v>
      </c>
      <c r="C1753">
        <v>-118.316395</v>
      </c>
      <c r="D1753" t="s">
        <v>5</v>
      </c>
    </row>
    <row r="1754" spans="1:4" x14ac:dyDescent="0.45">
      <c r="A1754" t="s">
        <v>1756</v>
      </c>
      <c r="B1754">
        <v>33.922663499999999</v>
      </c>
      <c r="C1754">
        <v>-118.3261378</v>
      </c>
      <c r="D1754" t="str">
        <f>HYPERLINK("https://lh5.googleusercontent.com/p/AF1QipNOx6LE1RIK9Su4h3S2VlD-Wsf2sUzIHBtpuUxS=w408-h593-k-no", "link")</f>
        <v>link</v>
      </c>
    </row>
    <row r="1755" spans="1:4" x14ac:dyDescent="0.45">
      <c r="A1755" t="s">
        <v>1757</v>
      </c>
      <c r="B1755">
        <v>33.924158499999997</v>
      </c>
      <c r="C1755">
        <v>-118.3282961</v>
      </c>
      <c r="D1755" t="str">
        <f>HYPERLINK("https://streetviewpixels-pa.googleapis.com/v1/thumbnail?panoid=B6pxVyJjRkzwdVWtLtCcqw&amp;cb_client=search.gws-prod.gps&amp;w=408&amp;h=240&amp;yaw=244.7175&amp;pitch=0&amp;thumbfov=100", "link")</f>
        <v>link</v>
      </c>
    </row>
    <row r="1756" spans="1:4" x14ac:dyDescent="0.45">
      <c r="A1756" t="s">
        <v>1758</v>
      </c>
      <c r="B1756">
        <v>33.924348199999997</v>
      </c>
      <c r="C1756">
        <v>-118.3283979</v>
      </c>
      <c r="D1756" t="str">
        <f>HYPERLINK("https://lh5.googleusercontent.com/p/AF1QipNj4rvJOi5BPT4a5wPvWiinCHklTXnb3I8PS2On=w408-h544-k-no", "link")</f>
        <v>link</v>
      </c>
    </row>
    <row r="1757" spans="1:4" x14ac:dyDescent="0.45">
      <c r="A1757" t="s">
        <v>1759</v>
      </c>
      <c r="B1757">
        <v>33.931200500000003</v>
      </c>
      <c r="C1757">
        <v>-118.3331855</v>
      </c>
      <c r="D1757" t="str">
        <f>HYPERLINK("https://streetviewpixels-pa.googleapis.com/v1/thumbnail?panoid=RLRUhoye3wQmjGj5d1e29g&amp;cb_client=search.gws-prod.gps&amp;w=408&amp;h=240&amp;yaw=2.3603768&amp;pitch=0&amp;thumbfov=100", "link")</f>
        <v>link</v>
      </c>
    </row>
    <row r="1758" spans="1:4" x14ac:dyDescent="0.45">
      <c r="A1758" t="s">
        <v>1760</v>
      </c>
      <c r="B1758">
        <v>33.9302311</v>
      </c>
      <c r="C1758">
        <v>-118.3354193</v>
      </c>
      <c r="D1758" t="s">
        <v>5</v>
      </c>
    </row>
    <row r="1759" spans="1:4" x14ac:dyDescent="0.45">
      <c r="A1759" t="s">
        <v>1761</v>
      </c>
      <c r="B1759">
        <v>33.930077500000003</v>
      </c>
      <c r="C1759">
        <v>-118.30822670000001</v>
      </c>
      <c r="D1759" t="s">
        <v>5</v>
      </c>
    </row>
    <row r="1760" spans="1:4" x14ac:dyDescent="0.45">
      <c r="A1760" t="s">
        <v>1762</v>
      </c>
      <c r="B1760">
        <v>34.148236900000001</v>
      </c>
      <c r="C1760">
        <v>-118.2577434</v>
      </c>
      <c r="D1760" t="str">
        <f>HYPERLINK("https://streetviewpixels-pa.googleapis.com/v1/thumbnail?panoid=9ZjvK6GpM1EVIB5AlUTy5w&amp;cb_client=search.gws-prod.gps&amp;w=408&amp;h=240&amp;yaw=12.860763&amp;pitch=0&amp;thumbfov=100", "link")</f>
        <v>link</v>
      </c>
    </row>
    <row r="1761" spans="1:4" x14ac:dyDescent="0.45">
      <c r="A1761" t="s">
        <v>1763</v>
      </c>
      <c r="B1761">
        <v>34.147181000000003</v>
      </c>
      <c r="C1761">
        <v>-118.2515124</v>
      </c>
      <c r="D1761" t="str">
        <f>HYPERLINK("https://streetviewpixels-pa.googleapis.com/v1/thumbnail?panoid=1PChKLKxKNnaw_D7EodVqQ&amp;cb_client=search.gws-prod.gps&amp;w=408&amp;h=240&amp;yaw=269.80893&amp;pitch=0&amp;thumbfov=100", "link")</f>
        <v>link</v>
      </c>
    </row>
    <row r="1762" spans="1:4" x14ac:dyDescent="0.45">
      <c r="A1762" t="s">
        <v>1764</v>
      </c>
      <c r="B1762">
        <v>34.152549800000003</v>
      </c>
      <c r="C1762">
        <v>-118.257744</v>
      </c>
      <c r="D1762" t="str">
        <f>HYPERLINK("https://streetviewpixels-pa.googleapis.com/v1/thumbnail?panoid=WkbFSOysiLPk12BtDrnqMg&amp;cb_client=search.gws-prod.gps&amp;w=408&amp;h=240&amp;yaw=274.38968&amp;pitch=0&amp;thumbfov=100", "link")</f>
        <v>link</v>
      </c>
    </row>
    <row r="1763" spans="1:4" x14ac:dyDescent="0.45">
      <c r="A1763" t="s">
        <v>1765</v>
      </c>
      <c r="B1763">
        <v>34.147309800000002</v>
      </c>
      <c r="C1763">
        <v>-118.2571841</v>
      </c>
      <c r="D1763" t="str">
        <f>HYPERLINK("https://streetviewpixels-pa.googleapis.com/v1/thumbnail?panoid=zCtsRLPecAQyFdutpgJuMg&amp;cb_client=search.gws-prod.gps&amp;w=408&amp;h=240&amp;yaw=83.54516&amp;pitch=0&amp;thumbfov=100", "link")</f>
        <v>link</v>
      </c>
    </row>
    <row r="1764" spans="1:4" x14ac:dyDescent="0.45">
      <c r="A1764" t="s">
        <v>1766</v>
      </c>
      <c r="B1764">
        <v>34.1535771</v>
      </c>
      <c r="C1764">
        <v>-118.25664829999999</v>
      </c>
      <c r="D1764" t="str">
        <f>HYPERLINK("https://streetviewpixels-pa.googleapis.com/v1/thumbnail?panoid=vFdBJ1UWDegZZgPBPB-ZFw&amp;cb_client=search.gws-prod.gps&amp;w=408&amp;h=240&amp;yaw=267.2731&amp;pitch=0&amp;thumbfov=100", "link")</f>
        <v>link</v>
      </c>
    </row>
    <row r="1765" spans="1:4" x14ac:dyDescent="0.45">
      <c r="A1765" t="s">
        <v>1767</v>
      </c>
      <c r="B1765">
        <v>34.149552800000002</v>
      </c>
      <c r="C1765">
        <v>-118.258867</v>
      </c>
      <c r="D1765" t="str">
        <f>HYPERLINK("https://streetviewpixels-pa.googleapis.com/v1/thumbnail?panoid=hQr7l7IbkZ8NdlDJhXnaMw&amp;cb_client=search.gws-prod.gps&amp;w=408&amp;h=240&amp;yaw=179.84737&amp;pitch=0&amp;thumbfov=100", "link")</f>
        <v>link</v>
      </c>
    </row>
    <row r="1766" spans="1:4" x14ac:dyDescent="0.45">
      <c r="A1766" t="s">
        <v>1768</v>
      </c>
      <c r="B1766">
        <v>34.15381</v>
      </c>
      <c r="C1766">
        <v>-118.25637930000001</v>
      </c>
      <c r="D1766" t="s">
        <v>5</v>
      </c>
    </row>
    <row r="1767" spans="1:4" x14ac:dyDescent="0.45">
      <c r="A1767" t="s">
        <v>1769</v>
      </c>
      <c r="B1767">
        <v>34.1542751</v>
      </c>
      <c r="C1767">
        <v>-118.2543629</v>
      </c>
      <c r="D1767" t="str">
        <f>HYPERLINK("https://streetviewpixels-pa.googleapis.com/v1/thumbnail?panoid=Bfba7QMyvldRQ5Fk7C4bvQ&amp;cb_client=search.gws-prod.gps&amp;w=408&amp;h=240&amp;yaw=259.2782&amp;pitch=0&amp;thumbfov=100", "link")</f>
        <v>link</v>
      </c>
    </row>
    <row r="1768" spans="1:4" x14ac:dyDescent="0.45">
      <c r="A1768" t="s">
        <v>1770</v>
      </c>
      <c r="B1768">
        <v>34.153220599999997</v>
      </c>
      <c r="C1768">
        <v>-118.2575046</v>
      </c>
      <c r="D1768" t="str">
        <f>HYPERLINK("https://streetviewpixels-pa.googleapis.com/v1/thumbnail?panoid=kM1huxyZIjofjVXAimdHNg&amp;cb_client=search.gws-prod.gps&amp;w=408&amp;h=240&amp;yaw=22.384298&amp;pitch=0&amp;thumbfov=100", "link")</f>
        <v>link</v>
      </c>
    </row>
    <row r="1769" spans="1:4" x14ac:dyDescent="0.45">
      <c r="A1769" t="s">
        <v>1771</v>
      </c>
      <c r="B1769">
        <v>34.152301399999999</v>
      </c>
      <c r="C1769">
        <v>-118.2584639</v>
      </c>
      <c r="D1769" t="s">
        <v>5</v>
      </c>
    </row>
    <row r="1770" spans="1:4" x14ac:dyDescent="0.45">
      <c r="A1770" t="s">
        <v>1772</v>
      </c>
      <c r="B1770">
        <v>34.153677399999999</v>
      </c>
      <c r="C1770">
        <v>-118.25695640000001</v>
      </c>
      <c r="D1770" t="str">
        <f>HYPERLINK("https://streetviewpixels-pa.googleapis.com/v1/thumbnail?panoid=vFdBJ1UWDegZZgPBPB-ZFw&amp;cb_client=search.gws-prod.gps&amp;w=408&amp;h=240&amp;yaw=267.2731&amp;pitch=0&amp;thumbfov=100", "link")</f>
        <v>link</v>
      </c>
    </row>
    <row r="1771" spans="1:4" x14ac:dyDescent="0.45">
      <c r="A1771" t="s">
        <v>1773</v>
      </c>
      <c r="B1771">
        <v>34.1526122</v>
      </c>
      <c r="C1771">
        <v>-118.2583443</v>
      </c>
      <c r="D1771" t="str">
        <f>HYPERLINK("https://streetviewpixels-pa.googleapis.com/v1/thumbnail?panoid=MaGIa5pF7OWzkOrrgmyWQg&amp;cb_client=search.gws-prod.gps&amp;w=408&amp;h=240&amp;yaw=71.047066&amp;pitch=0&amp;thumbfov=100", "link")</f>
        <v>link</v>
      </c>
    </row>
    <row r="1772" spans="1:4" x14ac:dyDescent="0.45">
      <c r="A1772" t="s">
        <v>1774</v>
      </c>
      <c r="B1772">
        <v>34.152905799999999</v>
      </c>
      <c r="C1772">
        <v>-118.2581201</v>
      </c>
      <c r="D1772" t="str">
        <f>HYPERLINK("https://streetviewpixels-pa.googleapis.com/v1/thumbnail?panoid=au2GwA97eBwzZApkIMlRVQ&amp;cb_client=search.gws-prod.gps&amp;w=408&amp;h=240&amp;yaw=243.25638&amp;pitch=0&amp;thumbfov=100", "link")</f>
        <v>link</v>
      </c>
    </row>
    <row r="1773" spans="1:4" x14ac:dyDescent="0.45">
      <c r="A1773" t="s">
        <v>1775</v>
      </c>
      <c r="B1773">
        <v>34.154546799999999</v>
      </c>
      <c r="C1773">
        <v>-118.2540319</v>
      </c>
      <c r="D1773" t="str">
        <f>HYPERLINK("https://streetviewpixels-pa.googleapis.com/v1/thumbnail?panoid=amMcpq3BZfRW4tMSg4ZsGA&amp;cb_client=search.gws-prod.gps&amp;w=408&amp;h=240&amp;yaw=163.87558&amp;pitch=0&amp;thumbfov=100", "link")</f>
        <v>link</v>
      </c>
    </row>
    <row r="1774" spans="1:4" x14ac:dyDescent="0.45">
      <c r="A1774" t="s">
        <v>1776</v>
      </c>
      <c r="B1774">
        <v>34.154296899999999</v>
      </c>
      <c r="C1774">
        <v>-118.255985</v>
      </c>
      <c r="D1774" t="str">
        <f>HYPERLINK("https://streetviewpixels-pa.googleapis.com/v1/thumbnail?panoid=wrPE5OaPzLfHMLcCfLWvGA&amp;cb_client=search.gws-prod.gps&amp;w=408&amp;h=240&amp;yaw=98.16183&amp;pitch=0&amp;thumbfov=100", "link")</f>
        <v>link</v>
      </c>
    </row>
    <row r="1775" spans="1:4" x14ac:dyDescent="0.45">
      <c r="A1775" t="s">
        <v>1777</v>
      </c>
      <c r="B1775">
        <v>34.154208300000001</v>
      </c>
      <c r="C1775">
        <v>-118.2562712</v>
      </c>
      <c r="D1775" t="s">
        <v>5</v>
      </c>
    </row>
    <row r="1776" spans="1:4" x14ac:dyDescent="0.45">
      <c r="A1776" t="s">
        <v>1778</v>
      </c>
      <c r="B1776">
        <v>34.145977700000003</v>
      </c>
      <c r="C1776">
        <v>-118.2524276</v>
      </c>
      <c r="D1776" t="s">
        <v>5</v>
      </c>
    </row>
    <row r="1777" spans="1:4" x14ac:dyDescent="0.45">
      <c r="A1777" t="s">
        <v>1779</v>
      </c>
      <c r="B1777">
        <v>34.154109699999999</v>
      </c>
      <c r="C1777">
        <v>-118.2567683</v>
      </c>
      <c r="D1777" t="str">
        <f>HYPERLINK("https://streetviewpixels-pa.googleapis.com/v1/thumbnail?panoid=XTWozz73K05uR4IMQlhNng&amp;cb_client=search.gws-prod.gps&amp;w=408&amp;h=240&amp;yaw=206.6168&amp;pitch=0&amp;thumbfov=100", "link")</f>
        <v>link</v>
      </c>
    </row>
    <row r="1778" spans="1:4" x14ac:dyDescent="0.45">
      <c r="A1778" t="s">
        <v>1780</v>
      </c>
      <c r="B1778">
        <v>34.1537018</v>
      </c>
      <c r="C1778">
        <v>-118.2574992</v>
      </c>
      <c r="D1778" t="str">
        <f>HYPERLINK("https://streetviewpixels-pa.googleapis.com/v1/thumbnail?panoid=8EtQaYITKeT8WXcWcHCUPA&amp;cb_client=search.gws-prod.gps&amp;w=408&amp;h=240&amp;yaw=97.517654&amp;pitch=0&amp;thumbfov=100", "link")</f>
        <v>link</v>
      </c>
    </row>
    <row r="1779" spans="1:4" x14ac:dyDescent="0.45">
      <c r="A1779" t="s">
        <v>1781</v>
      </c>
      <c r="B1779">
        <v>34.152458000000003</v>
      </c>
      <c r="C1779">
        <v>-118.25888</v>
      </c>
      <c r="D1779" t="str">
        <f>HYPERLINK("https://streetviewpixels-pa.googleapis.com/v1/thumbnail?panoid=M-TvUC8zzosAxe1XP5ZcBw&amp;cb_client=search.gws-prod.gps&amp;w=408&amp;h=240&amp;yaw=182.55695&amp;pitch=0&amp;thumbfov=100", "link")</f>
        <v>link</v>
      </c>
    </row>
    <row r="1780" spans="1:4" x14ac:dyDescent="0.45">
      <c r="A1780" t="s">
        <v>1782</v>
      </c>
      <c r="B1780">
        <v>34.150217599999998</v>
      </c>
      <c r="C1780">
        <v>-118.25411440000001</v>
      </c>
      <c r="D1780" t="s">
        <v>5</v>
      </c>
    </row>
    <row r="1781" spans="1:4" x14ac:dyDescent="0.45">
      <c r="A1781" t="s">
        <v>1783</v>
      </c>
      <c r="B1781">
        <v>34.150249299999999</v>
      </c>
      <c r="C1781">
        <v>-118.2540328</v>
      </c>
      <c r="D1781" t="s">
        <v>5</v>
      </c>
    </row>
    <row r="1782" spans="1:4" x14ac:dyDescent="0.45">
      <c r="A1782" t="s">
        <v>1784</v>
      </c>
      <c r="B1782">
        <v>34.149815699999998</v>
      </c>
      <c r="C1782">
        <v>-118.25418190000001</v>
      </c>
      <c r="D1782" t="str">
        <f>HYPERLINK("https://streetviewpixels-pa.googleapis.com/v1/thumbnail?panoid=4_HoD774MO8rvB2PQZaacg&amp;cb_client=search.gws-prod.gps&amp;w=408&amp;h=240&amp;yaw=81.58838&amp;pitch=0&amp;thumbfov=100", "link")</f>
        <v>link</v>
      </c>
    </row>
    <row r="1783" spans="1:4" x14ac:dyDescent="0.45">
      <c r="A1783" t="s">
        <v>1785</v>
      </c>
      <c r="B1783">
        <v>34.149144999999997</v>
      </c>
      <c r="C1783">
        <v>-118.25391620000001</v>
      </c>
      <c r="D1783" t="str">
        <f>HYPERLINK("https://streetviewpixels-pa.googleapis.com/v1/thumbnail?panoid=cgN8Eex7T3BiCgWLrqje4w&amp;cb_client=search.gws-prod.gps&amp;w=408&amp;h=240&amp;yaw=99.09129&amp;pitch=0&amp;thumbfov=100", "link")</f>
        <v>link</v>
      </c>
    </row>
    <row r="1784" spans="1:4" x14ac:dyDescent="0.45">
      <c r="A1784" t="s">
        <v>1786</v>
      </c>
      <c r="B1784">
        <v>34.150487300000002</v>
      </c>
      <c r="C1784">
        <v>-118.2560888</v>
      </c>
      <c r="D1784" t="str">
        <f>HYPERLINK("https://lh5.googleusercontent.com/p/AF1QipMp_bulnZNsbCSf2Ydcf3kewkE8FWNw8vjQWSj4=w408-h544-k-no", "link")</f>
        <v>link</v>
      </c>
    </row>
    <row r="1785" spans="1:4" x14ac:dyDescent="0.45">
      <c r="A1785" t="s">
        <v>1787</v>
      </c>
      <c r="B1785">
        <v>34.149321700000002</v>
      </c>
      <c r="C1785">
        <v>-118.2560616</v>
      </c>
      <c r="D1785" t="str">
        <f>HYPERLINK("https://streetviewpixels-pa.googleapis.com/v1/thumbnail?panoid=giO2S47QW3jmgAdDVwSgdg&amp;cb_client=search.gws-prod.gps&amp;w=408&amp;h=240&amp;yaw=80.7007&amp;pitch=0&amp;thumbfov=100", "link")</f>
        <v>link</v>
      </c>
    </row>
    <row r="1786" spans="1:4" x14ac:dyDescent="0.45">
      <c r="A1786" t="s">
        <v>1788</v>
      </c>
      <c r="B1786">
        <v>34.152067000000002</v>
      </c>
      <c r="C1786">
        <v>-118.254349</v>
      </c>
      <c r="D1786" t="str">
        <f>HYPERLINK("https://streetviewpixels-pa.googleapis.com/v1/thumbnail?panoid=bT7kRgJ6Zb_Wle4udqTRoA&amp;cb_client=search.gws-prod.gps&amp;w=408&amp;h=240&amp;yaw=268.9708&amp;pitch=0&amp;thumbfov=100", "link")</f>
        <v>link</v>
      </c>
    </row>
    <row r="1787" spans="1:4" x14ac:dyDescent="0.45">
      <c r="A1787" t="s">
        <v>1789</v>
      </c>
      <c r="B1787">
        <v>34.152059100000002</v>
      </c>
      <c r="C1787">
        <v>-118.25454569999999</v>
      </c>
      <c r="D1787" t="str">
        <f>HYPERLINK("https://streetviewpixels-pa.googleapis.com/v1/thumbnail?panoid=bT7kRgJ6Zb_Wle4udqTRoA&amp;cb_client=search.gws-prod.gps&amp;w=408&amp;h=240&amp;yaw=268.50366&amp;pitch=0&amp;thumbfov=100", "link")</f>
        <v>link</v>
      </c>
    </row>
    <row r="1788" spans="1:4" x14ac:dyDescent="0.45">
      <c r="A1788" t="s">
        <v>1790</v>
      </c>
      <c r="B1788">
        <v>34.150659300000001</v>
      </c>
      <c r="C1788">
        <v>-118.2565714</v>
      </c>
      <c r="D1788" t="str">
        <f>HYPERLINK("https://streetviewpixels-pa.googleapis.com/v1/thumbnail?panoid=SRl5OQT6GtExMTrO4br5BA&amp;cb_client=search.gws-prod.gps&amp;w=408&amp;h=240&amp;yaw=214.36642&amp;pitch=0&amp;thumbfov=100", "link")</f>
        <v>link</v>
      </c>
    </row>
    <row r="1789" spans="1:4" x14ac:dyDescent="0.45">
      <c r="A1789" t="s">
        <v>1791</v>
      </c>
      <c r="B1789">
        <v>34.1489653</v>
      </c>
      <c r="C1789">
        <v>-118.2562375</v>
      </c>
      <c r="D1789" t="str">
        <f>HYPERLINK("https://streetviewpixels-pa.googleapis.com/v1/thumbnail?panoid=npx_sAD6JQje8b3Md0uyfQ&amp;cb_client=search.gws-prod.gps&amp;w=408&amp;h=240&amp;yaw=67.85093&amp;pitch=0&amp;thumbfov=100", "link")</f>
        <v>link</v>
      </c>
    </row>
    <row r="1790" spans="1:4" x14ac:dyDescent="0.45">
      <c r="A1790" t="s">
        <v>1792</v>
      </c>
      <c r="B1790">
        <v>34.148553899999897</v>
      </c>
      <c r="C1790">
        <v>-118.2561487</v>
      </c>
      <c r="D1790" t="str">
        <f>HYPERLINK("https://streetviewpixels-pa.googleapis.com/v1/thumbnail?panoid=LFOsan-80CTmaT4K6Z78Gw&amp;cb_client=search.gws-prod.gps&amp;w=408&amp;h=240&amp;yaw=85.926765&amp;pitch=0&amp;thumbfov=100", "link")</f>
        <v>link</v>
      </c>
    </row>
    <row r="1791" spans="1:4" x14ac:dyDescent="0.45">
      <c r="A1791" t="s">
        <v>1793</v>
      </c>
      <c r="B1791">
        <v>34.150515599999999</v>
      </c>
      <c r="C1791">
        <v>-118.250877</v>
      </c>
      <c r="D1791" t="str">
        <f>HYPERLINK("https://streetviewpixels-pa.googleapis.com/v1/thumbnail?panoid=4b5N-Q6vA_NIy45TCqmuPg&amp;cb_client=search.gws-prod.gps&amp;w=408&amp;h=240&amp;yaw=89.35278&amp;pitch=0&amp;thumbfov=100", "link")</f>
        <v>link</v>
      </c>
    </row>
    <row r="1792" spans="1:4" x14ac:dyDescent="0.45">
      <c r="A1792" t="s">
        <v>1794</v>
      </c>
      <c r="B1792">
        <v>34.152915100000001</v>
      </c>
      <c r="C1792">
        <v>-118.25422140000001</v>
      </c>
      <c r="D1792" t="str">
        <f>HYPERLINK("https://streetviewpixels-pa.googleapis.com/v1/thumbnail?panoid=26oaeyKc7gn3QLFtuLGf_w&amp;cb_client=search.gws-prod.gps&amp;w=408&amp;h=240&amp;yaw=174.98401&amp;pitch=0&amp;thumbfov=100", "link")</f>
        <v>link</v>
      </c>
    </row>
    <row r="1793" spans="1:4" x14ac:dyDescent="0.45">
      <c r="A1793" t="s">
        <v>1795</v>
      </c>
      <c r="B1793">
        <v>34.147470300000002</v>
      </c>
      <c r="C1793">
        <v>-118.25411339999999</v>
      </c>
      <c r="D1793" t="str">
        <f>HYPERLINK("https://streetviewpixels-pa.googleapis.com/v1/thumbnail?panoid=RAkTT_FJg4P5t0GKsDLm6A&amp;cb_client=search.gws-prod.gps&amp;w=408&amp;h=240&amp;yaw=263.11868&amp;pitch=0&amp;thumbfov=100", "link")</f>
        <v>link</v>
      </c>
    </row>
    <row r="1794" spans="1:4" x14ac:dyDescent="0.45">
      <c r="A1794" t="s">
        <v>1796</v>
      </c>
      <c r="B1794">
        <v>34.147747299999899</v>
      </c>
      <c r="C1794">
        <v>-118.25584449999999</v>
      </c>
      <c r="D1794" t="str">
        <f>HYPERLINK("https://streetviewpixels-pa.googleapis.com/v1/thumbnail?panoid=9_xqeUGJ03gScrDq2piaEw&amp;cb_client=search.gws-prod.gps&amp;w=408&amp;h=240&amp;yaw=168.4312&amp;pitch=0&amp;thumbfov=100", "link")</f>
        <v>link</v>
      </c>
    </row>
    <row r="1795" spans="1:4" x14ac:dyDescent="0.45">
      <c r="A1795" t="s">
        <v>1797</v>
      </c>
      <c r="B1795">
        <v>34.148284699999998</v>
      </c>
      <c r="C1795">
        <v>-118.2515351</v>
      </c>
      <c r="D1795" t="str">
        <f>HYPERLINK("https://streetviewpixels-pa.googleapis.com/v1/thumbnail?panoid=NipnEgjZ0PLzc0Vvj5gaGQ&amp;cb_client=search.gws-prod.gps&amp;w=408&amp;h=240&amp;yaw=279.54358&amp;pitch=0&amp;thumbfov=100", "link")</f>
        <v>link</v>
      </c>
    </row>
    <row r="1796" spans="1:4" x14ac:dyDescent="0.45">
      <c r="A1796" t="s">
        <v>1798</v>
      </c>
      <c r="B1796">
        <v>34.147311100000003</v>
      </c>
      <c r="C1796">
        <v>-118.2540573</v>
      </c>
      <c r="D1796" t="s">
        <v>5</v>
      </c>
    </row>
    <row r="1797" spans="1:4" x14ac:dyDescent="0.45">
      <c r="A1797" t="s">
        <v>1799</v>
      </c>
      <c r="B1797">
        <v>34.147199200000003</v>
      </c>
      <c r="C1797">
        <v>-118.2557336</v>
      </c>
      <c r="D1797" t="str">
        <f>HYPERLINK("https://lh5.googleusercontent.com/p/AF1QipP-9BxPyE5Q5IRMM_ghyQ7GYo10bFDSlBvcjTYx=w426-h240-k-no", "link")</f>
        <v>link</v>
      </c>
    </row>
    <row r="1798" spans="1:4" x14ac:dyDescent="0.45">
      <c r="A1798" t="s">
        <v>1800</v>
      </c>
      <c r="B1798">
        <v>34.153795000000002</v>
      </c>
      <c r="C1798">
        <v>-118.2539213</v>
      </c>
      <c r="D1798" t="str">
        <f>HYPERLINK("https://streetviewpixels-pa.googleapis.com/v1/thumbnail?panoid=Xhhv6beH7BINA2mQexEIHQ&amp;cb_client=search.gws-prod.gps&amp;w=408&amp;h=240&amp;yaw=207.28294&amp;pitch=0&amp;thumbfov=100", "link")</f>
        <v>link</v>
      </c>
    </row>
    <row r="1799" spans="1:4" x14ac:dyDescent="0.45">
      <c r="A1799" t="s">
        <v>1801</v>
      </c>
      <c r="B1799">
        <v>34.145444900000001</v>
      </c>
      <c r="C1799">
        <v>-118.2552426</v>
      </c>
      <c r="D1799" t="str">
        <f>HYPERLINK("https://lh5.googleusercontent.com/p/AF1QipMWACANVYuN47Q9_w_10F0LWsiUIyR8Jp7LpnGl=w408-h306-k-no", "link")</f>
        <v>link</v>
      </c>
    </row>
    <row r="1800" spans="1:4" x14ac:dyDescent="0.45">
      <c r="A1800" t="s">
        <v>1802</v>
      </c>
      <c r="B1800">
        <v>34.143093899999997</v>
      </c>
      <c r="C1800">
        <v>-118.2542981</v>
      </c>
      <c r="D1800" t="str">
        <f>HYPERLINK("https://streetviewpixels-pa.googleapis.com/v1/thumbnail?panoid=ZXVXRDBkbG73_w-cJ3soRA&amp;cb_client=search.gws-prod.gps&amp;w=408&amp;h=240&amp;yaw=96.64134&amp;pitch=0&amp;thumbfov=100", "link")</f>
        <v>link</v>
      </c>
    </row>
    <row r="1801" spans="1:4" x14ac:dyDescent="0.45">
      <c r="A1801" t="s">
        <v>1803</v>
      </c>
      <c r="B1801">
        <v>34.143580399999998</v>
      </c>
      <c r="C1801">
        <v>-118.2551026</v>
      </c>
      <c r="D1801" t="str">
        <f>HYPERLINK("https://streetviewpixels-pa.googleapis.com/v1/thumbnail?panoid=EQIfcSD-N7UKqfBK5hGE1g&amp;cb_client=search.gws-prod.gps&amp;w=408&amp;h=240&amp;yaw=297.74753&amp;pitch=0&amp;thumbfov=100", "link")</f>
        <v>link</v>
      </c>
    </row>
    <row r="1802" spans="1:4" x14ac:dyDescent="0.45">
      <c r="A1802" t="s">
        <v>1804</v>
      </c>
      <c r="B1802">
        <v>34.142074999999998</v>
      </c>
      <c r="C1802">
        <v>-118.25363609999999</v>
      </c>
      <c r="D1802" t="s">
        <v>5</v>
      </c>
    </row>
    <row r="1803" spans="1:4" x14ac:dyDescent="0.45">
      <c r="A1803" t="s">
        <v>1805</v>
      </c>
      <c r="B1803">
        <v>34.144886</v>
      </c>
      <c r="C1803">
        <v>-118.2568129</v>
      </c>
      <c r="D1803" t="str">
        <f>HYPERLINK("https://lh5.googleusercontent.com/p/AF1QipP_HQBtse3XXmkJBBu9KPWGfuFAFxYsn4k2BXSA=w408-h544-k-no", "link")</f>
        <v>link</v>
      </c>
    </row>
    <row r="1804" spans="1:4" x14ac:dyDescent="0.45">
      <c r="A1804" t="s">
        <v>1806</v>
      </c>
      <c r="B1804">
        <v>34.148380299999999</v>
      </c>
      <c r="C1804">
        <v>-118.24729720000001</v>
      </c>
      <c r="D1804" t="str">
        <f>HYPERLINK("https://streetviewpixels-pa.googleapis.com/v1/thumbnail?panoid=SRdUUkjt50OKfGq1mVglDg&amp;cb_client=search.gws-prod.gps&amp;w=408&amp;h=240&amp;yaw=359.6275&amp;pitch=0&amp;thumbfov=100", "link")</f>
        <v>link</v>
      </c>
    </row>
    <row r="1805" spans="1:4" x14ac:dyDescent="0.45">
      <c r="A1805" t="s">
        <v>1807</v>
      </c>
      <c r="B1805">
        <v>34.1487877</v>
      </c>
      <c r="C1805">
        <v>-118.2466041</v>
      </c>
      <c r="D1805" t="str">
        <f>HYPERLINK("https://streetviewpixels-pa.googleapis.com/v1/thumbnail?panoid=3Oe6tg5k3WiveS3j0c5bpQ&amp;cb_client=search.gws-prod.gps&amp;w=408&amp;h=240&amp;yaw=287.4998&amp;pitch=0&amp;thumbfov=100", "link")</f>
        <v>link</v>
      </c>
    </row>
    <row r="1806" spans="1:4" x14ac:dyDescent="0.45">
      <c r="A1806" t="s">
        <v>1808</v>
      </c>
      <c r="B1806">
        <v>34.147540100000001</v>
      </c>
      <c r="C1806">
        <v>-118.24784579999999</v>
      </c>
      <c r="D1806" t="s">
        <v>5</v>
      </c>
    </row>
    <row r="1807" spans="1:4" x14ac:dyDescent="0.45">
      <c r="A1807" t="s">
        <v>1809</v>
      </c>
      <c r="B1807">
        <v>34.147106899999997</v>
      </c>
      <c r="C1807">
        <v>-118.2497736</v>
      </c>
      <c r="D1807" t="str">
        <f>HYPERLINK("https://streetviewpixels-pa.googleapis.com/v1/thumbnail?panoid=u9YOCU1mXnYZ9upnFvQWtw&amp;cb_client=search.gws-prod.gps&amp;w=408&amp;h=240&amp;yaw=89.11022&amp;pitch=0&amp;thumbfov=100", "link")</f>
        <v>link</v>
      </c>
    </row>
    <row r="1808" spans="1:4" x14ac:dyDescent="0.45">
      <c r="A1808" t="s">
        <v>1810</v>
      </c>
      <c r="B1808">
        <v>34.146236799999997</v>
      </c>
      <c r="C1808">
        <v>-118.24920059999999</v>
      </c>
      <c r="D1808" t="str">
        <f>HYPERLINK("https://streetviewpixels-pa.googleapis.com/v1/thumbnail?panoid=SCDHbdKznzQGuMFHegpUDg&amp;cb_client=search.gws-prod.gps&amp;w=408&amp;h=240&amp;yaw=199.19473&amp;pitch=0&amp;thumbfov=100", "link")</f>
        <v>link</v>
      </c>
    </row>
    <row r="1809" spans="1:4" x14ac:dyDescent="0.45">
      <c r="A1809" t="s">
        <v>1811</v>
      </c>
      <c r="B1809">
        <v>34.146528000000004</v>
      </c>
      <c r="C1809">
        <v>-118.24464999999999</v>
      </c>
      <c r="D1809" t="str">
        <f>HYPERLINK("https://streetviewpixels-pa.googleapis.com/v1/thumbnail?panoid=weeKLrGAUH7vIZUdcm-msg&amp;cb_client=search.gws-prod.gps&amp;w=408&amp;h=240&amp;yaw=252.05786&amp;pitch=0&amp;thumbfov=100", "link")</f>
        <v>link</v>
      </c>
    </row>
    <row r="1810" spans="1:4" x14ac:dyDescent="0.45">
      <c r="A1810" t="s">
        <v>1812</v>
      </c>
      <c r="B1810">
        <v>34.151400799999998</v>
      </c>
      <c r="C1810">
        <v>-118.2447648</v>
      </c>
      <c r="D1810" t="str">
        <f>HYPERLINK("https://streetviewpixels-pa.googleapis.com/v1/thumbnail?panoid=sdSJD0rDafmLw_kAtDZSZw&amp;cb_client=search.gws-prod.gps&amp;w=408&amp;h=240&amp;yaw=174.70793&amp;pitch=0&amp;thumbfov=100", "link")</f>
        <v>link</v>
      </c>
    </row>
    <row r="1811" spans="1:4" x14ac:dyDescent="0.45">
      <c r="A1811" t="s">
        <v>1813</v>
      </c>
      <c r="B1811">
        <v>34.145093799999998</v>
      </c>
      <c r="C1811">
        <v>-118.2522688</v>
      </c>
      <c r="D1811" t="str">
        <f>HYPERLINK("https://streetviewpixels-pa.googleapis.com/v1/thumbnail?panoid=07YFgLVGbjTosSH3TNO1iw&amp;cb_client=search.gws-prod.gps&amp;w=408&amp;h=240&amp;yaw=349.0519&amp;pitch=0&amp;thumbfov=100", "link")</f>
        <v>link</v>
      </c>
    </row>
    <row r="1812" spans="1:4" x14ac:dyDescent="0.45">
      <c r="A1812" t="s">
        <v>1814</v>
      </c>
      <c r="B1812">
        <v>34.145176900000003</v>
      </c>
      <c r="C1812">
        <v>-118.25359709999999</v>
      </c>
      <c r="D1812" t="str">
        <f>HYPERLINK("https://streetviewpixels-pa.googleapis.com/v1/thumbnail?panoid=d7Ux28fWQVGKgFbD9ecHaA&amp;cb_client=search.gws-prod.gps&amp;w=408&amp;h=240&amp;yaw=60.699696&amp;pitch=0&amp;thumbfov=100", "link")</f>
        <v>link</v>
      </c>
    </row>
    <row r="1813" spans="1:4" x14ac:dyDescent="0.45">
      <c r="A1813" t="s">
        <v>1815</v>
      </c>
      <c r="B1813">
        <v>34.144621700000002</v>
      </c>
      <c r="C1813">
        <v>-118.25427879999999</v>
      </c>
      <c r="D1813" t="s">
        <v>5</v>
      </c>
    </row>
    <row r="1814" spans="1:4" x14ac:dyDescent="0.45">
      <c r="A1814" t="s">
        <v>1816</v>
      </c>
      <c r="B1814">
        <v>34.144851000000003</v>
      </c>
      <c r="C1814">
        <v>-118.25902309999999</v>
      </c>
      <c r="D1814" t="str">
        <f>HYPERLINK("https://lh5.googleusercontent.com/p/AF1QipMb67EI0DLbcPSTK6uTPfPx3Twb5Cm1tsK6w_Bs=w426-h240-k-no", "link")</f>
        <v>link</v>
      </c>
    </row>
    <row r="1815" spans="1:4" x14ac:dyDescent="0.45">
      <c r="A1815" t="s">
        <v>1817</v>
      </c>
      <c r="B1815">
        <v>34.143331400000001</v>
      </c>
      <c r="C1815">
        <v>-118.25964260000001</v>
      </c>
      <c r="D1815" t="str">
        <f>HYPERLINK("https://streetviewpixels-pa.googleapis.com/v1/thumbnail?panoid=7ykfEUrfQLxcmOk2NUIwDA&amp;cb_client=search.gws-prod.gps&amp;w=408&amp;h=240&amp;yaw=254.57895&amp;pitch=0&amp;thumbfov=100", "link")</f>
        <v>link</v>
      </c>
    </row>
    <row r="1816" spans="1:4" x14ac:dyDescent="0.45">
      <c r="A1816" t="s">
        <v>1818</v>
      </c>
      <c r="B1816">
        <v>34.143703599999903</v>
      </c>
      <c r="C1816">
        <v>-118.260716</v>
      </c>
      <c r="D1816" t="str">
        <f>HYPERLINK("https://streetviewpixels-pa.googleapis.com/v1/thumbnail?panoid=fYnQQKeBsI4L3xwCNxs42w&amp;cb_client=search.gws-prod.gps&amp;w=408&amp;h=240&amp;yaw=91.01068&amp;pitch=0&amp;thumbfov=100", "link")</f>
        <v>link</v>
      </c>
    </row>
    <row r="1817" spans="1:4" x14ac:dyDescent="0.45">
      <c r="A1817" t="s">
        <v>1819</v>
      </c>
      <c r="B1817">
        <v>34.147308000000002</v>
      </c>
      <c r="C1817">
        <v>-118.2628938</v>
      </c>
      <c r="D1817" t="str">
        <f>HYPERLINK("https://streetviewpixels-pa.googleapis.com/v1/thumbnail?panoid=xjBUIaZ74xrpHwYAFqjYmA&amp;cb_client=search.gws-prod.gps&amp;w=408&amp;h=240&amp;yaw=177.30579&amp;pitch=0&amp;thumbfov=100", "link")</f>
        <v>link</v>
      </c>
    </row>
    <row r="1818" spans="1:4" x14ac:dyDescent="0.45">
      <c r="A1818" t="s">
        <v>1820</v>
      </c>
      <c r="B1818">
        <v>34.158199500000002</v>
      </c>
      <c r="C1818">
        <v>-118.2575933</v>
      </c>
      <c r="D1818" t="str">
        <f>HYPERLINK("https://streetviewpixels-pa.googleapis.com/v1/thumbnail?panoid=r-rbfwzY17Z3IowpQkbjsQ&amp;cb_client=search.gws-prod.gps&amp;w=408&amp;h=240&amp;yaw=161.39479&amp;pitch=0&amp;thumbfov=100", "link")</f>
        <v>link</v>
      </c>
    </row>
    <row r="1819" spans="1:4" x14ac:dyDescent="0.45">
      <c r="A1819" t="s">
        <v>1821</v>
      </c>
      <c r="B1819">
        <v>34.159630200000002</v>
      </c>
      <c r="C1819">
        <v>-118.2544137</v>
      </c>
      <c r="D1819" t="str">
        <f>HYPERLINK("https://streetviewpixels-pa.googleapis.com/v1/thumbnail?panoid=az5bZ3MFOfsVL_ZQSd0jNw&amp;cb_client=search.gws-prod.gps&amp;w=408&amp;h=240&amp;yaw=326.71442&amp;pitch=0&amp;thumbfov=100", "link")</f>
        <v>link</v>
      </c>
    </row>
    <row r="1820" spans="1:4" x14ac:dyDescent="0.45">
      <c r="A1820" t="s">
        <v>1822</v>
      </c>
      <c r="B1820">
        <v>34.160014699999998</v>
      </c>
      <c r="C1820">
        <v>-118.2568429</v>
      </c>
      <c r="D1820" t="str">
        <f>HYPERLINK("https://streetviewpixels-pa.googleapis.com/v1/thumbnail?panoid=tAI6PnCD6InxIgb9l-JNwQ&amp;cb_client=search.gws-prod.gps&amp;w=408&amp;h=240&amp;yaw=359.34415&amp;pitch=0&amp;thumbfov=100", "link")</f>
        <v>link</v>
      </c>
    </row>
    <row r="1821" spans="1:4" x14ac:dyDescent="0.45">
      <c r="A1821" t="s">
        <v>1823</v>
      </c>
      <c r="B1821">
        <v>34.153119099999998</v>
      </c>
      <c r="C1821">
        <v>-118.2614332</v>
      </c>
      <c r="D1821" t="s">
        <v>5</v>
      </c>
    </row>
    <row r="1822" spans="1:4" x14ac:dyDescent="0.45">
      <c r="A1822" t="s">
        <v>1824</v>
      </c>
      <c r="B1822">
        <v>34.162089000000002</v>
      </c>
      <c r="C1822">
        <v>-118.25561070000001</v>
      </c>
      <c r="D1822" t="s">
        <v>5</v>
      </c>
    </row>
    <row r="1823" spans="1:4" x14ac:dyDescent="0.45">
      <c r="A1823" t="s">
        <v>1825</v>
      </c>
      <c r="B1823">
        <v>34.155557700000003</v>
      </c>
      <c r="C1823">
        <v>-118.2543508</v>
      </c>
      <c r="D1823" t="str">
        <f>HYPERLINK("https://streetviewpixels-pa.googleapis.com/v1/thumbnail?panoid=AGy5SoRQhKuaSsFPoqJlkw&amp;cb_client=search.gws-prod.gps&amp;w=408&amp;h=240&amp;yaw=176.72244&amp;pitch=0&amp;thumbfov=100", "link")</f>
        <v>link</v>
      </c>
    </row>
    <row r="1824" spans="1:4" x14ac:dyDescent="0.45">
      <c r="A1824" t="s">
        <v>1826</v>
      </c>
      <c r="B1824">
        <v>34.1549014</v>
      </c>
      <c r="C1824">
        <v>-118.2541289</v>
      </c>
      <c r="D1824" t="str">
        <f>HYPERLINK("https://streetviewpixels-pa.googleapis.com/v1/thumbnail?panoid=yS87xiETc0_qAaGlqAGBAg&amp;cb_client=search.gws-prod.gps&amp;w=408&amp;h=240&amp;yaw=16.040817&amp;pitch=0&amp;thumbfov=100", "link")</f>
        <v>link</v>
      </c>
    </row>
    <row r="1825" spans="1:4" x14ac:dyDescent="0.45">
      <c r="A1825" t="s">
        <v>1827</v>
      </c>
      <c r="B1825">
        <v>34.157549299999999</v>
      </c>
      <c r="C1825">
        <v>-118.25388599999999</v>
      </c>
      <c r="D1825" t="str">
        <f>HYPERLINK("https://streetviewpixels-pa.googleapis.com/v1/thumbnail?panoid=GZNOOMVq39CPfk0rRY4Hxw&amp;cb_client=search.gws-prod.gps&amp;w=408&amp;h=240&amp;yaw=177.53821&amp;pitch=0&amp;thumbfov=100", "link")</f>
        <v>link</v>
      </c>
    </row>
    <row r="1826" spans="1:4" x14ac:dyDescent="0.45">
      <c r="A1826" t="s">
        <v>1828</v>
      </c>
      <c r="B1826">
        <v>34.157799799999999</v>
      </c>
      <c r="C1826">
        <v>-118.2534409</v>
      </c>
      <c r="D1826" t="str">
        <f>HYPERLINK("https://streetviewpixels-pa.googleapis.com/v1/thumbnail?panoid=GZNOOMVq39CPfk0rRY4Hxw&amp;cb_client=search.gws-prod.gps&amp;w=408&amp;h=240&amp;yaw=145.81938&amp;pitch=0&amp;thumbfov=100", "link")</f>
        <v>link</v>
      </c>
    </row>
    <row r="1827" spans="1:4" x14ac:dyDescent="0.45">
      <c r="A1827" t="s">
        <v>1829</v>
      </c>
      <c r="B1827">
        <v>34.155648999999997</v>
      </c>
      <c r="C1827">
        <v>-118.258498</v>
      </c>
      <c r="D1827" t="str">
        <f>HYPERLINK("https://streetviewpixels-pa.googleapis.com/v1/thumbnail?panoid=bq3DI3zwu2Dvfx541E_YOA&amp;cb_client=search.gws-prod.gps&amp;w=408&amp;h=240&amp;yaw=273.2532&amp;pitch=0&amp;thumbfov=100", "link")</f>
        <v>link</v>
      </c>
    </row>
    <row r="1828" spans="1:4" x14ac:dyDescent="0.45">
      <c r="A1828" t="s">
        <v>1830</v>
      </c>
      <c r="B1828">
        <v>34.155480699999998</v>
      </c>
      <c r="C1828">
        <v>-118.2588243</v>
      </c>
      <c r="D1828" t="s">
        <v>5</v>
      </c>
    </row>
    <row r="1829" spans="1:4" x14ac:dyDescent="0.45">
      <c r="A1829" t="s">
        <v>1831</v>
      </c>
      <c r="B1829">
        <v>34.1461562</v>
      </c>
      <c r="C1829">
        <v>-118.283541</v>
      </c>
      <c r="D1829" t="s">
        <v>5</v>
      </c>
    </row>
    <row r="1830" spans="1:4" x14ac:dyDescent="0.45">
      <c r="A1830" t="s">
        <v>1832</v>
      </c>
      <c r="B1830">
        <v>34.144205599999999</v>
      </c>
      <c r="C1830">
        <v>-118.27236120000001</v>
      </c>
      <c r="D1830" t="s">
        <v>5</v>
      </c>
    </row>
    <row r="1831" spans="1:4" x14ac:dyDescent="0.45">
      <c r="A1831" t="s">
        <v>1833</v>
      </c>
      <c r="B1831">
        <v>34.161017700000002</v>
      </c>
      <c r="C1831">
        <v>-118.2739997</v>
      </c>
      <c r="D1831" t="str">
        <f>HYPERLINK("https://streetviewpixels-pa.googleapis.com/v1/thumbnail?panoid=He2inK0U50PFDYBPqcaPDg&amp;cb_client=search.gws-prod.gps&amp;w=408&amp;h=240&amp;yaw=14.611321&amp;pitch=0&amp;thumbfov=100", "link")</f>
        <v>link</v>
      </c>
    </row>
    <row r="1832" spans="1:4" x14ac:dyDescent="0.45">
      <c r="A1832" t="s">
        <v>1834</v>
      </c>
      <c r="B1832">
        <v>34.155413799999998</v>
      </c>
      <c r="C1832">
        <v>-118.2738066</v>
      </c>
      <c r="D1832" t="str">
        <f>HYPERLINK("https://streetviewpixels-pa.googleapis.com/v1/thumbnail?panoid=l3GsuILv9APD6DSDXjz6pw&amp;cb_client=search.gws-prod.gps&amp;w=408&amp;h=240&amp;yaw=253.81725&amp;pitch=0&amp;thumbfov=100", "link")</f>
        <v>link</v>
      </c>
    </row>
    <row r="1833" spans="1:4" x14ac:dyDescent="0.45">
      <c r="A1833" t="s">
        <v>1835</v>
      </c>
      <c r="B1833">
        <v>34.158722099999999</v>
      </c>
      <c r="C1833">
        <v>-118.2622097</v>
      </c>
      <c r="D1833" t="str">
        <f>HYPERLINK("https://streetviewpixels-pa.googleapis.com/v1/thumbnail?panoid=Ajjx6YfD6c_AMgiSGVqn1g&amp;cb_client=search.gws-prod.gps&amp;w=408&amp;h=240&amp;yaw=16.608503&amp;pitch=0&amp;thumbfov=100", "link")</f>
        <v>link</v>
      </c>
    </row>
    <row r="1834" spans="1:4" x14ac:dyDescent="0.45">
      <c r="A1834" t="s">
        <v>1836</v>
      </c>
      <c r="B1834">
        <v>34.161942099999997</v>
      </c>
      <c r="C1834">
        <v>-118.2867072</v>
      </c>
      <c r="D1834" t="str">
        <f>HYPERLINK("https://streetviewpixels-pa.googleapis.com/v1/thumbnail?panoid=F_RHQov9iE8BniXGvfO6Xg&amp;cb_client=search.gws-prod.gps&amp;w=408&amp;h=240&amp;yaw=26.777761&amp;pitch=0&amp;thumbfov=100", "link")</f>
        <v>link</v>
      </c>
    </row>
    <row r="1835" spans="1:4" x14ac:dyDescent="0.45">
      <c r="A1835" t="s">
        <v>1837</v>
      </c>
      <c r="B1835">
        <v>34.155395899999903</v>
      </c>
      <c r="C1835">
        <v>-118.2629184</v>
      </c>
      <c r="D1835" t="str">
        <f>HYPERLINK("https://streetviewpixels-pa.googleapis.com/v1/thumbnail?panoid=Mycd1BtPKjQyiM62B2rfxQ&amp;cb_client=search.gws-prod.gps&amp;w=408&amp;h=240&amp;yaw=351.72522&amp;pitch=0&amp;thumbfov=100", "link")</f>
        <v>link</v>
      </c>
    </row>
    <row r="1836" spans="1:4" x14ac:dyDescent="0.45">
      <c r="A1836" t="s">
        <v>1838</v>
      </c>
      <c r="B1836">
        <v>34.161049499999997</v>
      </c>
      <c r="C1836">
        <v>-118.2879257</v>
      </c>
      <c r="D1836" t="s">
        <v>5</v>
      </c>
    </row>
    <row r="1837" spans="1:4" x14ac:dyDescent="0.45">
      <c r="A1837" t="s">
        <v>1839</v>
      </c>
      <c r="B1837">
        <v>34.148588699999998</v>
      </c>
      <c r="C1837">
        <v>-118.28052649999999</v>
      </c>
      <c r="D1837" t="s">
        <v>5</v>
      </c>
    </row>
    <row r="1838" spans="1:4" x14ac:dyDescent="0.45">
      <c r="A1838" t="s">
        <v>1840</v>
      </c>
      <c r="B1838">
        <v>34.147551399999998</v>
      </c>
      <c r="C1838">
        <v>-118.2709584</v>
      </c>
      <c r="D1838" t="str">
        <f>HYPERLINK("https://streetviewpixels-pa.googleapis.com/v1/thumbnail?panoid=7nIOXIxVyQy9L1k3rUR1tg&amp;cb_client=search.gws-prod.gps&amp;w=408&amp;h=240&amp;yaw=179.01721&amp;pitch=0&amp;thumbfov=100", "link")</f>
        <v>link</v>
      </c>
    </row>
    <row r="1839" spans="1:4" x14ac:dyDescent="0.45">
      <c r="A1839" t="s">
        <v>1841</v>
      </c>
      <c r="B1839">
        <v>34.100985199999997</v>
      </c>
      <c r="C1839">
        <v>-117.77389410000001</v>
      </c>
      <c r="D1839" t="s">
        <v>5</v>
      </c>
    </row>
    <row r="1840" spans="1:4" x14ac:dyDescent="0.45">
      <c r="A1840" t="s">
        <v>1842</v>
      </c>
      <c r="B1840">
        <v>34.100257599999999</v>
      </c>
      <c r="C1840">
        <v>-117.7709625</v>
      </c>
      <c r="D1840" t="s">
        <v>5</v>
      </c>
    </row>
    <row r="1841" spans="1:4" x14ac:dyDescent="0.45">
      <c r="A1841" t="s">
        <v>1843</v>
      </c>
      <c r="B1841">
        <v>34.0955466999999</v>
      </c>
      <c r="C1841">
        <v>-117.77176660000001</v>
      </c>
      <c r="D1841" t="str">
        <f>HYPERLINK("https://streetviewpixels-pa.googleapis.com/v1/thumbnail?panoid=yL0sGF1y5CLKYpQN-wyMRQ&amp;cb_client=search.gws-prod.gps&amp;w=408&amp;h=240&amp;yaw=141.0143&amp;pitch=0&amp;thumbfov=100", "link")</f>
        <v>link</v>
      </c>
    </row>
    <row r="1842" spans="1:4" x14ac:dyDescent="0.45">
      <c r="A1842" t="s">
        <v>1844</v>
      </c>
      <c r="B1842">
        <v>34.098995199999997</v>
      </c>
      <c r="C1842">
        <v>-117.7697258</v>
      </c>
      <c r="D1842" t="s">
        <v>5</v>
      </c>
    </row>
    <row r="1843" spans="1:4" x14ac:dyDescent="0.45">
      <c r="A1843" t="s">
        <v>1845</v>
      </c>
      <c r="B1843">
        <v>34.112711699999998</v>
      </c>
      <c r="C1843">
        <v>-117.76399979999999</v>
      </c>
      <c r="D1843" t="s">
        <v>5</v>
      </c>
    </row>
    <row r="1844" spans="1:4" x14ac:dyDescent="0.45">
      <c r="A1844" t="s">
        <v>1846</v>
      </c>
      <c r="B1844">
        <v>34.092200599999998</v>
      </c>
      <c r="C1844">
        <v>-117.76896170000001</v>
      </c>
      <c r="D1844" t="str">
        <f>HYPERLINK("https://lh5.googleusercontent.com/p/AF1QipNCE1Gy-rgY5FxMCa2rdOrYLg_QGd_rlnwXpSC3=w408-h544-k-no", "link")</f>
        <v>link</v>
      </c>
    </row>
    <row r="1845" spans="1:4" x14ac:dyDescent="0.45">
      <c r="A1845" t="s">
        <v>1847</v>
      </c>
      <c r="B1845">
        <v>34.098943300000002</v>
      </c>
      <c r="C1845">
        <v>-117.8258309</v>
      </c>
      <c r="D1845" t="s">
        <v>5</v>
      </c>
    </row>
    <row r="1846" spans="1:4" x14ac:dyDescent="0.45">
      <c r="A1846" t="s">
        <v>1848</v>
      </c>
      <c r="B1846">
        <v>34.105416599999998</v>
      </c>
      <c r="C1846">
        <v>-117.808288</v>
      </c>
      <c r="D1846" t="s">
        <v>5</v>
      </c>
    </row>
    <row r="1847" spans="1:4" x14ac:dyDescent="0.45">
      <c r="A1847" t="s">
        <v>1849</v>
      </c>
      <c r="B1847">
        <v>34.105203000000003</v>
      </c>
      <c r="C1847">
        <v>-117.80747100000001</v>
      </c>
      <c r="D1847" t="str">
        <f>HYPERLINK("https://streetviewpixels-pa.googleapis.com/v1/thumbnail?panoid=IDp4SrLQT2H-GF0rkFO5Rg&amp;cb_client=search.gws-prod.gps&amp;w=408&amp;h=240&amp;yaw=270.08282&amp;pitch=0&amp;thumbfov=100", "link")</f>
        <v>link</v>
      </c>
    </row>
    <row r="1848" spans="1:4" x14ac:dyDescent="0.45">
      <c r="A1848" t="s">
        <v>1850</v>
      </c>
      <c r="B1848">
        <v>34.104320600000001</v>
      </c>
      <c r="C1848">
        <v>-117.8033111</v>
      </c>
      <c r="D1848" t="s">
        <v>5</v>
      </c>
    </row>
    <row r="1849" spans="1:4" x14ac:dyDescent="0.45">
      <c r="A1849" t="s">
        <v>1851</v>
      </c>
      <c r="B1849">
        <v>34.107207600000002</v>
      </c>
      <c r="C1849">
        <v>-117.7878187</v>
      </c>
      <c r="D1849" t="s">
        <v>5</v>
      </c>
    </row>
    <row r="1850" spans="1:4" x14ac:dyDescent="0.45">
      <c r="A1850" t="s">
        <v>1852</v>
      </c>
      <c r="B1850">
        <v>34.105263299999997</v>
      </c>
      <c r="C1850">
        <v>-117.7885515</v>
      </c>
      <c r="D1850" t="s">
        <v>5</v>
      </c>
    </row>
    <row r="1851" spans="1:4" x14ac:dyDescent="0.45">
      <c r="A1851" t="s">
        <v>1853</v>
      </c>
      <c r="B1851">
        <v>34.104156000000003</v>
      </c>
      <c r="C1851">
        <v>-117.78832250000001</v>
      </c>
      <c r="D1851" t="s">
        <v>5</v>
      </c>
    </row>
    <row r="1852" spans="1:4" x14ac:dyDescent="0.45">
      <c r="A1852" t="s">
        <v>1854</v>
      </c>
      <c r="B1852">
        <v>34.078075400000003</v>
      </c>
      <c r="C1852">
        <v>-117.81519969999999</v>
      </c>
      <c r="D1852" t="s">
        <v>5</v>
      </c>
    </row>
    <row r="1853" spans="1:4" x14ac:dyDescent="0.45">
      <c r="A1853" t="s">
        <v>1855</v>
      </c>
      <c r="B1853">
        <v>34.080002499999999</v>
      </c>
      <c r="C1853">
        <v>-117.8075127</v>
      </c>
      <c r="D1853" t="s">
        <v>5</v>
      </c>
    </row>
    <row r="1854" spans="1:4" x14ac:dyDescent="0.45">
      <c r="A1854" t="s">
        <v>1856</v>
      </c>
      <c r="B1854">
        <v>34.076914299999899</v>
      </c>
      <c r="C1854">
        <v>-117.8158007</v>
      </c>
      <c r="D1854" t="str">
        <f>HYPERLINK("https://streetviewpixels-pa.googleapis.com/v1/thumbnail?panoid=gWDsEs-O-EzCy7o7ZoB_uA&amp;cb_client=search.gws-prod.gps&amp;w=408&amp;h=240&amp;yaw=164.15308&amp;pitch=0&amp;thumbfov=100", "link")</f>
        <v>link</v>
      </c>
    </row>
    <row r="1855" spans="1:4" x14ac:dyDescent="0.45">
      <c r="A1855" t="s">
        <v>1857</v>
      </c>
      <c r="B1855">
        <v>34.098639200000001</v>
      </c>
      <c r="C1855">
        <v>-117.77856629999999</v>
      </c>
      <c r="D1855" t="s">
        <v>5</v>
      </c>
    </row>
    <row r="1856" spans="1:4" x14ac:dyDescent="0.45">
      <c r="A1856" t="s">
        <v>1858</v>
      </c>
      <c r="B1856">
        <v>34.264865</v>
      </c>
      <c r="C1856">
        <v>-118.470426</v>
      </c>
      <c r="D1856" t="s">
        <v>5</v>
      </c>
    </row>
    <row r="1857" spans="1:4" x14ac:dyDescent="0.45">
      <c r="A1857" t="s">
        <v>1859</v>
      </c>
      <c r="B1857">
        <v>34.265135699999902</v>
      </c>
      <c r="C1857">
        <v>-118.4702577</v>
      </c>
      <c r="D1857" t="s">
        <v>5</v>
      </c>
    </row>
    <row r="1858" spans="1:4" x14ac:dyDescent="0.45">
      <c r="A1858" t="s">
        <v>1860</v>
      </c>
      <c r="B1858">
        <v>34.272130699999998</v>
      </c>
      <c r="C1858">
        <v>-118.4696988</v>
      </c>
      <c r="D1858" t="str">
        <f>HYPERLINK("https://streetviewpixels-pa.googleapis.com/v1/thumbnail?panoid=S9UUpSaSo8J0WusG0JjMYA&amp;cb_client=search.gws-prod.gps&amp;w=408&amp;h=240&amp;yaw=55.291775&amp;pitch=0&amp;thumbfov=100", "link")</f>
        <v>link</v>
      </c>
    </row>
    <row r="1859" spans="1:4" x14ac:dyDescent="0.45">
      <c r="A1859" t="s">
        <v>1861</v>
      </c>
      <c r="B1859">
        <v>34.272348899999997</v>
      </c>
      <c r="C1859">
        <v>-118.4699844</v>
      </c>
      <c r="D1859" t="str">
        <f>HYPERLINK("https://streetviewpixels-pa.googleapis.com/v1/thumbnail?panoid=S9UUpSaSo8J0WusG0JjMYA&amp;cb_client=search.gws-prod.gps&amp;w=408&amp;h=240&amp;yaw=55.291775&amp;pitch=0&amp;thumbfov=100", "link")</f>
        <v>link</v>
      </c>
    </row>
    <row r="1860" spans="1:4" x14ac:dyDescent="0.45">
      <c r="A1860" t="s">
        <v>1862</v>
      </c>
      <c r="B1860">
        <v>34.272364699999997</v>
      </c>
      <c r="C1860">
        <v>-118.4695619</v>
      </c>
      <c r="D1860" t="str">
        <f>HYPERLINK("https://streetviewpixels-pa.googleapis.com/v1/thumbnail?panoid=7a-NzuIVX2bF-gCVnDktgg&amp;cb_client=search.gws-prod.gps&amp;w=408&amp;h=240&amp;yaw=358.439&amp;pitch=0&amp;thumbfov=100", "link")</f>
        <v>link</v>
      </c>
    </row>
    <row r="1861" spans="1:4" x14ac:dyDescent="0.45">
      <c r="A1861" t="s">
        <v>1863</v>
      </c>
      <c r="B1861">
        <v>34.271946900000003</v>
      </c>
      <c r="C1861">
        <v>-118.4570487</v>
      </c>
      <c r="D1861" t="str">
        <f>HYPERLINK("https://lh5.googleusercontent.com/p/AF1QipMae1bhlLECmvELL5nl1AAF58Qmb7d_jf-TL7Uh=w408-h306-k-no", "link")</f>
        <v>link</v>
      </c>
    </row>
    <row r="1862" spans="1:4" x14ac:dyDescent="0.45">
      <c r="A1862" t="s">
        <v>1864</v>
      </c>
      <c r="B1862">
        <v>34.2802741</v>
      </c>
      <c r="C1862">
        <v>-118.4576536</v>
      </c>
      <c r="D1862" t="s">
        <v>5</v>
      </c>
    </row>
    <row r="1863" spans="1:4" x14ac:dyDescent="0.45">
      <c r="A1863" t="s">
        <v>1865</v>
      </c>
      <c r="B1863">
        <v>34.261372399999999</v>
      </c>
      <c r="C1863">
        <v>-118.5027182</v>
      </c>
      <c r="D1863" t="str">
        <f>HYPERLINK("https://streetviewpixels-pa.googleapis.com/v1/thumbnail?panoid=TGv06jsbNKLHCkdG-3bQwQ&amp;cb_client=search.gws-prod.gps&amp;w=408&amp;h=240&amp;yaw=17.717075&amp;pitch=0&amp;thumbfov=100", "link")</f>
        <v>link</v>
      </c>
    </row>
    <row r="1864" spans="1:4" x14ac:dyDescent="0.45">
      <c r="A1864" t="s">
        <v>1866</v>
      </c>
      <c r="B1864">
        <v>34.256602999999998</v>
      </c>
      <c r="C1864">
        <v>-118.4983481</v>
      </c>
      <c r="D1864" t="s">
        <v>5</v>
      </c>
    </row>
    <row r="1865" spans="1:4" x14ac:dyDescent="0.45">
      <c r="A1865" t="s">
        <v>1867</v>
      </c>
      <c r="B1865">
        <v>34.271728099999997</v>
      </c>
      <c r="C1865">
        <v>-118.49695680000001</v>
      </c>
      <c r="D1865" t="str">
        <f>HYPERLINK("https://streetviewpixels-pa.googleapis.com/v1/thumbnail?panoid=4AopxRlPqQR-4Q4KOKXDyQ&amp;cb_client=search.gws-prod.gps&amp;w=408&amp;h=240&amp;yaw=187.00719&amp;pitch=0&amp;thumbfov=100", "link")</f>
        <v>link</v>
      </c>
    </row>
    <row r="1866" spans="1:4" x14ac:dyDescent="0.45">
      <c r="A1866" t="s">
        <v>1868</v>
      </c>
      <c r="B1866">
        <v>34.249069400000003</v>
      </c>
      <c r="C1866">
        <v>-118.4864875</v>
      </c>
      <c r="D1866" t="s">
        <v>5</v>
      </c>
    </row>
    <row r="1867" spans="1:4" x14ac:dyDescent="0.45">
      <c r="A1867" t="s">
        <v>1869</v>
      </c>
      <c r="B1867">
        <v>34.285996599999997</v>
      </c>
      <c r="C1867">
        <v>-118.4496687</v>
      </c>
      <c r="D1867" t="s">
        <v>5</v>
      </c>
    </row>
    <row r="1868" spans="1:4" x14ac:dyDescent="0.45">
      <c r="A1868" t="s">
        <v>1870</v>
      </c>
      <c r="B1868">
        <v>34.325114300000003</v>
      </c>
      <c r="C1868">
        <v>-118.4474328</v>
      </c>
      <c r="D1868" t="s">
        <v>5</v>
      </c>
    </row>
    <row r="1869" spans="1:4" x14ac:dyDescent="0.45">
      <c r="A1869" t="s">
        <v>1871</v>
      </c>
      <c r="B1869">
        <v>34.325865499999999</v>
      </c>
      <c r="C1869">
        <v>-118.4476154</v>
      </c>
      <c r="D1869" t="s">
        <v>5</v>
      </c>
    </row>
    <row r="1870" spans="1:4" x14ac:dyDescent="0.45">
      <c r="A1870" t="s">
        <v>1872</v>
      </c>
      <c r="B1870">
        <v>34.324829800000003</v>
      </c>
      <c r="C1870">
        <v>-118.4464416</v>
      </c>
      <c r="D1870" t="str">
        <f>HYPERLINK("https://lh5.googleusercontent.com/p/AF1QipN58RKFsD2NXTa0TxKV_NyUYvc9ipdzfxVBFIW6=w408-h306-k-no", "link")</f>
        <v>link</v>
      </c>
    </row>
    <row r="1871" spans="1:4" x14ac:dyDescent="0.45">
      <c r="A1871" t="s">
        <v>1873</v>
      </c>
      <c r="B1871">
        <v>34.326095700000003</v>
      </c>
      <c r="C1871">
        <v>-118.4467028</v>
      </c>
      <c r="D1871" t="s">
        <v>5</v>
      </c>
    </row>
    <row r="1872" spans="1:4" x14ac:dyDescent="0.45">
      <c r="A1872" t="s">
        <v>1874</v>
      </c>
      <c r="B1872">
        <v>34.3249037</v>
      </c>
      <c r="C1872">
        <v>-118.4448561</v>
      </c>
      <c r="D1872" t="str">
        <f>HYPERLINK("https://lh5.googleusercontent.com/p/AF1QipOv2jsjT6rBN_GS4WQWPVOsKH-2MjzS3yylKASW=w408-h306-k-no", "link")</f>
        <v>link</v>
      </c>
    </row>
    <row r="1873" spans="1:4" x14ac:dyDescent="0.45">
      <c r="A1873" t="s">
        <v>1875</v>
      </c>
      <c r="B1873">
        <v>34.280054100000001</v>
      </c>
      <c r="C1873">
        <v>-118.492294</v>
      </c>
      <c r="D1873" t="s">
        <v>5</v>
      </c>
    </row>
    <row r="1874" spans="1:4" x14ac:dyDescent="0.45">
      <c r="A1874" t="s">
        <v>1876</v>
      </c>
      <c r="B1874">
        <v>34.3070716</v>
      </c>
      <c r="C1874">
        <v>-118.4628829</v>
      </c>
      <c r="D1874" t="str">
        <f>HYPERLINK("https://streetviewpixels-pa.googleapis.com/v1/thumbnail?panoid=ewYZ7fLW-JjUYWz3tbQsLw&amp;cb_client=search.gws-prod.gps&amp;w=408&amp;h=240&amp;yaw=124.392235&amp;pitch=0&amp;thumbfov=100", "link")</f>
        <v>link</v>
      </c>
    </row>
    <row r="1875" spans="1:4" x14ac:dyDescent="0.45">
      <c r="A1875" t="s">
        <v>1877</v>
      </c>
      <c r="B1875">
        <v>34.2797956</v>
      </c>
      <c r="C1875">
        <v>-118.4576536</v>
      </c>
      <c r="D1875" t="s">
        <v>5</v>
      </c>
    </row>
    <row r="1876" spans="1:4" x14ac:dyDescent="0.45">
      <c r="A1876" t="s">
        <v>1878</v>
      </c>
      <c r="B1876">
        <v>34.279714900000002</v>
      </c>
      <c r="C1876">
        <v>-118.4573874</v>
      </c>
      <c r="D1876" t="s">
        <v>5</v>
      </c>
    </row>
    <row r="1877" spans="1:4" x14ac:dyDescent="0.45">
      <c r="A1877" t="s">
        <v>1879</v>
      </c>
      <c r="B1877">
        <v>34.2793650999999</v>
      </c>
      <c r="C1877">
        <v>-118.45746</v>
      </c>
      <c r="D1877" t="str">
        <f>HYPERLINK("https://streetviewpixels-pa.googleapis.com/v1/thumbnail?panoid=WTgD2f8VMiUVILGwzKz-dQ&amp;cb_client=search.gws-prod.gps&amp;w=408&amp;h=240&amp;yaw=51.22141&amp;pitch=0&amp;thumbfov=100", "link")</f>
        <v>link</v>
      </c>
    </row>
    <row r="1878" spans="1:4" x14ac:dyDescent="0.45">
      <c r="A1878" t="s">
        <v>1880</v>
      </c>
      <c r="B1878">
        <v>34.287723399999997</v>
      </c>
      <c r="C1878">
        <v>-118.4516764</v>
      </c>
      <c r="D1878" t="s">
        <v>5</v>
      </c>
    </row>
    <row r="1879" spans="1:4" x14ac:dyDescent="0.45">
      <c r="A1879" t="s">
        <v>1881</v>
      </c>
      <c r="B1879">
        <v>34.291704799999998</v>
      </c>
      <c r="C1879">
        <v>-118.4482553</v>
      </c>
      <c r="D1879" t="str">
        <f>HYPERLINK("https://streetviewpixels-pa.googleapis.com/v1/thumbnail?panoid=KP3jR1uiTPN7ny9_eis_pw&amp;cb_client=search.gws-prod.gps&amp;w=408&amp;h=240&amp;yaw=225.97409&amp;pitch=0&amp;thumbfov=100", "link")</f>
        <v>link</v>
      </c>
    </row>
    <row r="1880" spans="1:4" x14ac:dyDescent="0.45">
      <c r="A1880" t="s">
        <v>1882</v>
      </c>
      <c r="B1880">
        <v>34.245942200000002</v>
      </c>
      <c r="C1880">
        <v>-118.5237566</v>
      </c>
      <c r="D1880" t="s">
        <v>5</v>
      </c>
    </row>
    <row r="1881" spans="1:4" x14ac:dyDescent="0.45">
      <c r="A1881" t="s">
        <v>1883</v>
      </c>
      <c r="B1881">
        <v>34.2468091</v>
      </c>
      <c r="C1881">
        <v>-118.5250367</v>
      </c>
      <c r="D1881" t="s">
        <v>5</v>
      </c>
    </row>
    <row r="1882" spans="1:4" x14ac:dyDescent="0.45">
      <c r="A1882" t="s">
        <v>1884</v>
      </c>
      <c r="B1882">
        <v>34.245941500000001</v>
      </c>
      <c r="C1882">
        <v>-118.52388430000001</v>
      </c>
      <c r="D1882" t="s">
        <v>5</v>
      </c>
    </row>
    <row r="1883" spans="1:4" x14ac:dyDescent="0.45">
      <c r="A1883" t="s">
        <v>1885</v>
      </c>
      <c r="B1883">
        <v>34.241895900000003</v>
      </c>
      <c r="C1883">
        <v>-118.5249857</v>
      </c>
      <c r="D1883" t="s">
        <v>5</v>
      </c>
    </row>
    <row r="1884" spans="1:4" x14ac:dyDescent="0.45">
      <c r="A1884" t="s">
        <v>1886</v>
      </c>
      <c r="B1884">
        <v>34.240850399999999</v>
      </c>
      <c r="C1884">
        <v>-118.5240735</v>
      </c>
      <c r="D1884" t="s">
        <v>5</v>
      </c>
    </row>
    <row r="1885" spans="1:4" x14ac:dyDescent="0.45">
      <c r="A1885" t="s">
        <v>1887</v>
      </c>
      <c r="B1885">
        <v>34.240185099999998</v>
      </c>
      <c r="C1885">
        <v>-118.52391540000001</v>
      </c>
      <c r="D1885" t="s">
        <v>5</v>
      </c>
    </row>
    <row r="1886" spans="1:4" x14ac:dyDescent="0.45">
      <c r="A1886" t="s">
        <v>1888</v>
      </c>
      <c r="B1886">
        <v>34.282176199999903</v>
      </c>
      <c r="C1886">
        <v>-118.441729</v>
      </c>
      <c r="D1886" t="s">
        <v>5</v>
      </c>
    </row>
    <row r="1887" spans="1:4" x14ac:dyDescent="0.45">
      <c r="A1887" t="s">
        <v>1889</v>
      </c>
      <c r="B1887">
        <v>34.284247700000002</v>
      </c>
      <c r="C1887">
        <v>-118.4422489</v>
      </c>
      <c r="D1887" t="s">
        <v>5</v>
      </c>
    </row>
    <row r="1888" spans="1:4" x14ac:dyDescent="0.45">
      <c r="A1888" t="s">
        <v>1890</v>
      </c>
      <c r="B1888">
        <v>34.280838399999901</v>
      </c>
      <c r="C1888">
        <v>-118.4413414</v>
      </c>
      <c r="D1888" t="str">
        <f>HYPERLINK("https://streetviewpixels-pa.googleapis.com/v1/thumbnail?panoid=G-O677YLooKjjMJKkTvr3A&amp;cb_client=search.gws-prod.gps&amp;w=408&amp;h=240&amp;yaw=346.15924&amp;pitch=0&amp;thumbfov=100", "link")</f>
        <v>link</v>
      </c>
    </row>
    <row r="1889" spans="1:4" x14ac:dyDescent="0.45">
      <c r="A1889" t="s">
        <v>1891</v>
      </c>
      <c r="B1889">
        <v>34.284186300000002</v>
      </c>
      <c r="C1889">
        <v>-118.4421397</v>
      </c>
      <c r="D1889" t="s">
        <v>5</v>
      </c>
    </row>
    <row r="1890" spans="1:4" x14ac:dyDescent="0.45">
      <c r="A1890" t="s">
        <v>1892</v>
      </c>
      <c r="B1890">
        <v>34.281869399999998</v>
      </c>
      <c r="C1890">
        <v>-118.4413639</v>
      </c>
      <c r="D1890" t="s">
        <v>5</v>
      </c>
    </row>
    <row r="1891" spans="1:4" x14ac:dyDescent="0.45">
      <c r="A1891" t="s">
        <v>1893</v>
      </c>
      <c r="B1891">
        <v>34.2810664</v>
      </c>
      <c r="C1891">
        <v>-118.441227</v>
      </c>
      <c r="D1891" t="s">
        <v>5</v>
      </c>
    </row>
    <row r="1892" spans="1:4" x14ac:dyDescent="0.45">
      <c r="A1892" t="s">
        <v>1894</v>
      </c>
      <c r="B1892">
        <v>34.282521199999998</v>
      </c>
      <c r="C1892">
        <v>-118.44036</v>
      </c>
      <c r="D1892" t="s">
        <v>5</v>
      </c>
    </row>
    <row r="1893" spans="1:4" x14ac:dyDescent="0.45">
      <c r="A1893" t="s">
        <v>1895</v>
      </c>
      <c r="B1893">
        <v>34.282286800000001</v>
      </c>
      <c r="C1893">
        <v>-118.4402134</v>
      </c>
      <c r="D1893" t="s">
        <v>5</v>
      </c>
    </row>
    <row r="1894" spans="1:4" x14ac:dyDescent="0.45">
      <c r="A1894" t="s">
        <v>1896</v>
      </c>
      <c r="B1894">
        <v>34.281526499999998</v>
      </c>
      <c r="C1894">
        <v>-118.4394018</v>
      </c>
      <c r="D1894" t="s">
        <v>5</v>
      </c>
    </row>
    <row r="1895" spans="1:4" x14ac:dyDescent="0.45">
      <c r="A1895" t="s">
        <v>1897</v>
      </c>
      <c r="B1895">
        <v>34.283781300000001</v>
      </c>
      <c r="C1895">
        <v>-118.43994929999999</v>
      </c>
      <c r="D1895" t="s">
        <v>5</v>
      </c>
    </row>
    <row r="1896" spans="1:4" x14ac:dyDescent="0.45">
      <c r="A1896" t="s">
        <v>1898</v>
      </c>
      <c r="B1896">
        <v>34.280141800000003</v>
      </c>
      <c r="C1896">
        <v>-118.4382974</v>
      </c>
      <c r="D1896" t="str">
        <f>HYPERLINK("https://streetviewpixels-pa.googleapis.com/v1/thumbnail?panoid=KGb1Wnb7FGC-X0wPnhYIoQ&amp;cb_client=search.gws-prod.gps&amp;w=408&amp;h=240&amp;yaw=74.07317&amp;pitch=0&amp;thumbfov=100", "link")</f>
        <v>link</v>
      </c>
    </row>
    <row r="1897" spans="1:4" x14ac:dyDescent="0.45">
      <c r="A1897" t="s">
        <v>1899</v>
      </c>
      <c r="B1897">
        <v>34.281229400000001</v>
      </c>
      <c r="C1897">
        <v>-118.4367465</v>
      </c>
      <c r="D1897" t="str">
        <f>HYPERLINK("https://streetviewpixels-pa.googleapis.com/v1/thumbnail?panoid=J1Qi_bJpJraoFyB9g70muA&amp;cb_client=search.gws-prod.gps&amp;w=408&amp;h=240&amp;yaw=339.5229&amp;pitch=0&amp;thumbfov=100", "link")</f>
        <v>link</v>
      </c>
    </row>
    <row r="1898" spans="1:4" x14ac:dyDescent="0.45">
      <c r="A1898" t="s">
        <v>1900</v>
      </c>
      <c r="B1898">
        <v>34.2852642</v>
      </c>
      <c r="C1898">
        <v>-118.4373568</v>
      </c>
      <c r="D1898" t="s">
        <v>5</v>
      </c>
    </row>
    <row r="1899" spans="1:4" x14ac:dyDescent="0.45">
      <c r="A1899" t="s">
        <v>1901</v>
      </c>
      <c r="B1899">
        <v>34.285005400000003</v>
      </c>
      <c r="C1899">
        <v>-118.43694360000001</v>
      </c>
      <c r="D1899" t="str">
        <f>HYPERLINK("https://streetviewpixels-pa.googleapis.com/v1/thumbnail?panoid=1OG67sawI2TeOkD2qP8BtQ&amp;cb_client=search.gws-prod.gps&amp;w=408&amp;h=240&amp;yaw=130.48962&amp;pitch=0&amp;thumbfov=100", "link")</f>
        <v>link</v>
      </c>
    </row>
    <row r="1900" spans="1:4" x14ac:dyDescent="0.45">
      <c r="A1900" t="s">
        <v>1902</v>
      </c>
      <c r="B1900">
        <v>34.276540300000001</v>
      </c>
      <c r="C1900">
        <v>-118.44527429999999</v>
      </c>
      <c r="D1900" t="str">
        <f>HYPERLINK("https://streetviewpixels-pa.googleapis.com/v1/thumbnail?panoid=o7xwwH4g5xmoqGqZNUjUEQ&amp;cb_client=search.gws-prod.gps&amp;w=408&amp;h=240&amp;yaw=281.48013&amp;pitch=0&amp;thumbfov=100", "link")</f>
        <v>link</v>
      </c>
    </row>
    <row r="1901" spans="1:4" x14ac:dyDescent="0.45">
      <c r="A1901" t="s">
        <v>1903</v>
      </c>
      <c r="B1901">
        <v>34.276778399999998</v>
      </c>
      <c r="C1901">
        <v>-118.4451057</v>
      </c>
      <c r="D1901" t="s">
        <v>5</v>
      </c>
    </row>
    <row r="1902" spans="1:4" x14ac:dyDescent="0.45">
      <c r="A1902" t="s">
        <v>1904</v>
      </c>
      <c r="B1902">
        <v>34.283194700000003</v>
      </c>
      <c r="C1902">
        <v>-118.4446494</v>
      </c>
      <c r="D1902" t="s">
        <v>5</v>
      </c>
    </row>
    <row r="1903" spans="1:4" x14ac:dyDescent="0.45">
      <c r="A1903" t="s">
        <v>1905</v>
      </c>
      <c r="B1903">
        <v>34.2828625</v>
      </c>
      <c r="C1903">
        <v>-118.44379170000001</v>
      </c>
      <c r="D1903" t="str">
        <f>HYPERLINK("https://streetviewpixels-pa.googleapis.com/v1/thumbnail?panoid=93pZ-6HZrN4wpjOZA3p0gw&amp;cb_client=search.gws-prod.gps&amp;w=408&amp;h=240&amp;yaw=198.90715&amp;pitch=0&amp;thumbfov=100", "link")</f>
        <v>link</v>
      </c>
    </row>
    <row r="1904" spans="1:4" x14ac:dyDescent="0.45">
      <c r="A1904" t="s">
        <v>1906</v>
      </c>
      <c r="B1904">
        <v>34.282907100000003</v>
      </c>
      <c r="C1904">
        <v>-118.4434174</v>
      </c>
      <c r="D1904" t="s">
        <v>5</v>
      </c>
    </row>
    <row r="1905" spans="1:4" x14ac:dyDescent="0.45">
      <c r="A1905" t="s">
        <v>1907</v>
      </c>
      <c r="B1905">
        <v>34.280333200000001</v>
      </c>
      <c r="C1905">
        <v>-118.4428698</v>
      </c>
      <c r="D1905" t="s">
        <v>5</v>
      </c>
    </row>
    <row r="1906" spans="1:4" x14ac:dyDescent="0.45">
      <c r="A1906" t="s">
        <v>1908</v>
      </c>
      <c r="B1906">
        <v>34.281410899999997</v>
      </c>
      <c r="C1906">
        <v>-118.4418465</v>
      </c>
      <c r="D1906" t="s">
        <v>5</v>
      </c>
    </row>
    <row r="1907" spans="1:4" x14ac:dyDescent="0.45">
      <c r="A1907" t="s">
        <v>1909</v>
      </c>
      <c r="B1907">
        <v>34.2814069</v>
      </c>
      <c r="C1907">
        <v>-118.4417746</v>
      </c>
      <c r="D1907" t="s">
        <v>5</v>
      </c>
    </row>
    <row r="1908" spans="1:4" x14ac:dyDescent="0.45">
      <c r="A1908" t="s">
        <v>1910</v>
      </c>
      <c r="B1908">
        <v>34.282271399999999</v>
      </c>
      <c r="C1908">
        <v>-118.44188819999999</v>
      </c>
      <c r="D1908" t="str">
        <f>HYPERLINK("https://streetviewpixels-pa.googleapis.com/v1/thumbnail?panoid=5DoB2IirmYO0FfyLtc9rkA&amp;cb_client=search.gws-prod.gps&amp;w=408&amp;h=240&amp;yaw=45.24538&amp;pitch=0&amp;thumbfov=100", "link")</f>
        <v>link</v>
      </c>
    </row>
    <row r="1909" spans="1:4" x14ac:dyDescent="0.45">
      <c r="A1909" t="s">
        <v>1911</v>
      </c>
      <c r="B1909">
        <v>34.284658</v>
      </c>
      <c r="C1909">
        <v>-118.4426416</v>
      </c>
      <c r="D1909" t="s">
        <v>5</v>
      </c>
    </row>
    <row r="1910" spans="1:4" x14ac:dyDescent="0.45">
      <c r="A1910" t="s">
        <v>1912</v>
      </c>
      <c r="B1910">
        <v>34.2395511</v>
      </c>
      <c r="C1910">
        <v>-118.5253384</v>
      </c>
      <c r="D1910" t="s">
        <v>5</v>
      </c>
    </row>
    <row r="1911" spans="1:4" x14ac:dyDescent="0.45">
      <c r="A1911" t="s">
        <v>1913</v>
      </c>
      <c r="B1911">
        <v>34.238078100000003</v>
      </c>
      <c r="C1911">
        <v>-118.5252594</v>
      </c>
      <c r="D1911" t="str">
        <f>HYPERLINK("https://streetviewpixels-pa.googleapis.com/v1/thumbnail?panoid=OF_W4SJRfd_t4Z2UeSmRHQ&amp;cb_client=search.gws-prod.gps&amp;w=408&amp;h=240&amp;yaw=342.3591&amp;pitch=0&amp;thumbfov=100", "link")</f>
        <v>link</v>
      </c>
    </row>
    <row r="1912" spans="1:4" x14ac:dyDescent="0.45">
      <c r="A1912" t="s">
        <v>1914</v>
      </c>
      <c r="B1912">
        <v>34.2382414</v>
      </c>
      <c r="C1912">
        <v>-118.5239823</v>
      </c>
      <c r="D1912" t="str">
        <f>HYPERLINK("https://streetviewpixels-pa.googleapis.com/v1/thumbnail?panoid=fErJVYbHvdsk8xPTCT1R4Q&amp;cb_client=search.gws-prod.gps&amp;w=408&amp;h=240&amp;yaw=64.93461&amp;pitch=0&amp;thumbfov=100", "link")</f>
        <v>link</v>
      </c>
    </row>
    <row r="1913" spans="1:4" x14ac:dyDescent="0.45">
      <c r="A1913" t="s">
        <v>1915</v>
      </c>
      <c r="B1913">
        <v>34.238242499999998</v>
      </c>
      <c r="C1913">
        <v>-118.5239457</v>
      </c>
      <c r="D1913" t="str">
        <f>HYPERLINK("https://streetviewpixels-pa.googleapis.com/v1/thumbnail?panoid=fErJVYbHvdsk8xPTCT1R4Q&amp;cb_client=search.gws-prod.gps&amp;w=408&amp;h=240&amp;yaw=64.93461&amp;pitch=0&amp;thumbfov=100", "link")</f>
        <v>link</v>
      </c>
    </row>
    <row r="1914" spans="1:4" x14ac:dyDescent="0.45">
      <c r="A1914" t="s">
        <v>1916</v>
      </c>
      <c r="B1914">
        <v>34.236190899999997</v>
      </c>
      <c r="C1914">
        <v>-118.5240697</v>
      </c>
      <c r="D1914" t="s">
        <v>5</v>
      </c>
    </row>
    <row r="1915" spans="1:4" x14ac:dyDescent="0.45">
      <c r="A1915" t="s">
        <v>1917</v>
      </c>
      <c r="B1915">
        <v>34.236172099999997</v>
      </c>
      <c r="C1915">
        <v>-118.5240526</v>
      </c>
      <c r="D1915" t="s">
        <v>5</v>
      </c>
    </row>
    <row r="1916" spans="1:4" x14ac:dyDescent="0.45">
      <c r="A1916" t="s">
        <v>1918</v>
      </c>
      <c r="B1916">
        <v>33.988681</v>
      </c>
      <c r="C1916">
        <v>-117.93260100000001</v>
      </c>
      <c r="D1916" t="s">
        <v>5</v>
      </c>
    </row>
    <row r="1917" spans="1:4" x14ac:dyDescent="0.45">
      <c r="A1917" t="s">
        <v>1919</v>
      </c>
      <c r="B1917">
        <v>33.985472700000003</v>
      </c>
      <c r="C1917">
        <v>-117.9274174</v>
      </c>
      <c r="D1917" t="s">
        <v>5</v>
      </c>
    </row>
    <row r="1918" spans="1:4" x14ac:dyDescent="0.45">
      <c r="A1918" t="s">
        <v>1920</v>
      </c>
      <c r="B1918">
        <v>33.983006799999998</v>
      </c>
      <c r="C1918">
        <v>-117.9284701</v>
      </c>
      <c r="D1918" t="s">
        <v>5</v>
      </c>
    </row>
    <row r="1919" spans="1:4" x14ac:dyDescent="0.45">
      <c r="A1919" t="s">
        <v>1921</v>
      </c>
      <c r="B1919">
        <v>33.988330599999998</v>
      </c>
      <c r="C1919">
        <v>-117.9244425</v>
      </c>
      <c r="D1919" t="s">
        <v>5</v>
      </c>
    </row>
    <row r="1920" spans="1:4" x14ac:dyDescent="0.45">
      <c r="A1920" t="s">
        <v>1922</v>
      </c>
      <c r="B1920">
        <v>33.981934099999997</v>
      </c>
      <c r="C1920">
        <v>-117.93071260000001</v>
      </c>
      <c r="D1920" t="s">
        <v>5</v>
      </c>
    </row>
    <row r="1921" spans="1:4" x14ac:dyDescent="0.45">
      <c r="A1921" t="s">
        <v>1923</v>
      </c>
      <c r="B1921">
        <v>34.064100500000002</v>
      </c>
      <c r="C1921">
        <v>-117.9858529</v>
      </c>
      <c r="D1921" t="s">
        <v>5</v>
      </c>
    </row>
    <row r="1922" spans="1:4" x14ac:dyDescent="0.45">
      <c r="A1922" t="s">
        <v>1924</v>
      </c>
      <c r="B1922">
        <v>34.066155100000003</v>
      </c>
      <c r="C1922">
        <v>-117.98402280000001</v>
      </c>
      <c r="D1922" t="s">
        <v>5</v>
      </c>
    </row>
    <row r="1923" spans="1:4" x14ac:dyDescent="0.45">
      <c r="A1923" t="s">
        <v>1925</v>
      </c>
      <c r="B1923">
        <v>34.064915599999999</v>
      </c>
      <c r="C1923">
        <v>-117.98791180000001</v>
      </c>
      <c r="D1923" t="s">
        <v>5</v>
      </c>
    </row>
    <row r="1924" spans="1:4" x14ac:dyDescent="0.45">
      <c r="A1924" t="s">
        <v>1926</v>
      </c>
      <c r="B1924">
        <v>34.066468100000002</v>
      </c>
      <c r="C1924">
        <v>-117.9850294</v>
      </c>
      <c r="D1924" t="s">
        <v>5</v>
      </c>
    </row>
    <row r="1925" spans="1:4" x14ac:dyDescent="0.45">
      <c r="A1925" t="s">
        <v>1927</v>
      </c>
      <c r="B1925">
        <v>33.7897701999999</v>
      </c>
      <c r="C1925">
        <v>-118.3007236</v>
      </c>
      <c r="D1925" t="str">
        <f>HYPERLINK("https://streetviewpixels-pa.googleapis.com/v1/thumbnail?panoid=rgdrOhwQ9qJAGeh1reOd4Q&amp;cb_client=search.gws-prod.gps&amp;w=408&amp;h=240&amp;yaw=120.46738&amp;pitch=0&amp;thumbfov=100", "link")</f>
        <v>link</v>
      </c>
    </row>
    <row r="1926" spans="1:4" x14ac:dyDescent="0.45">
      <c r="A1926" t="s">
        <v>1928</v>
      </c>
      <c r="B1926">
        <v>33.789091999999997</v>
      </c>
      <c r="C1926">
        <v>-118.2944416</v>
      </c>
      <c r="D1926" t="str">
        <f>HYPERLINK("https://streetviewpixels-pa.googleapis.com/v1/thumbnail?panoid=Qe6GDr-GN7KguzUV_4FucQ&amp;cb_client=search.gws-prod.gps&amp;w=408&amp;h=240&amp;yaw=356.50702&amp;pitch=0&amp;thumbfov=100", "link")</f>
        <v>link</v>
      </c>
    </row>
    <row r="1927" spans="1:4" x14ac:dyDescent="0.45">
      <c r="A1927" t="s">
        <v>1929</v>
      </c>
      <c r="B1927">
        <v>33.790647399999997</v>
      </c>
      <c r="C1927">
        <v>-118.294229</v>
      </c>
      <c r="D1927" t="s">
        <v>5</v>
      </c>
    </row>
    <row r="1928" spans="1:4" x14ac:dyDescent="0.45">
      <c r="A1928" t="s">
        <v>1930</v>
      </c>
      <c r="B1928">
        <v>33.798799000000002</v>
      </c>
      <c r="C1928">
        <v>-118.2994334</v>
      </c>
      <c r="D1928" t="str">
        <f>HYPERLINK("https://streetviewpixels-pa.googleapis.com/v1/thumbnail?panoid=dxrze3yq9c9KbLLsOymdrw&amp;cb_client=search.gws-prod.gps&amp;w=408&amp;h=240&amp;yaw=355.69373&amp;pitch=0&amp;thumbfov=100", "link")</f>
        <v>link</v>
      </c>
    </row>
    <row r="1929" spans="1:4" x14ac:dyDescent="0.45">
      <c r="A1929" t="s">
        <v>1931</v>
      </c>
      <c r="B1929">
        <v>33.784663100000003</v>
      </c>
      <c r="C1929">
        <v>-118.2871493</v>
      </c>
      <c r="D1929" t="s">
        <v>5</v>
      </c>
    </row>
    <row r="1930" spans="1:4" x14ac:dyDescent="0.45">
      <c r="A1930" t="s">
        <v>1932</v>
      </c>
      <c r="B1930">
        <v>33.789943999999998</v>
      </c>
      <c r="C1930">
        <v>-118.3163093</v>
      </c>
      <c r="D1930" t="str">
        <f>HYPERLINK("https://streetviewpixels-pa.googleapis.com/v1/thumbnail?panoid=FzLhQT8phbvE6ydT4uEK4g&amp;cb_client=search.gws-prod.gps&amp;w=408&amp;h=240&amp;yaw=335.80566&amp;pitch=0&amp;thumbfov=100", "link")</f>
        <v>link</v>
      </c>
    </row>
    <row r="1931" spans="1:4" x14ac:dyDescent="0.45">
      <c r="A1931" t="s">
        <v>1933</v>
      </c>
      <c r="B1931">
        <v>33.786646999999903</v>
      </c>
      <c r="C1931">
        <v>-118.32300499999999</v>
      </c>
      <c r="D1931" t="str">
        <f>HYPERLINK("https://streetviewpixels-pa.googleapis.com/v1/thumbnail?panoid=eHo8k34_OUiXIgGJSjEb1w&amp;cb_client=search.gws-prod.gps&amp;w=408&amp;h=240&amp;yaw=264.98883&amp;pitch=0&amp;thumbfov=100", "link")</f>
        <v>link</v>
      </c>
    </row>
    <row r="1932" spans="1:4" x14ac:dyDescent="0.45">
      <c r="A1932" t="s">
        <v>1934</v>
      </c>
      <c r="B1932">
        <v>33.771152399999998</v>
      </c>
      <c r="C1932">
        <v>-118.3260358</v>
      </c>
      <c r="D1932" t="s">
        <v>5</v>
      </c>
    </row>
    <row r="1933" spans="1:4" x14ac:dyDescent="0.45">
      <c r="A1933" t="s">
        <v>1935</v>
      </c>
      <c r="B1933">
        <v>33.7705409</v>
      </c>
      <c r="C1933">
        <v>-118.3255107</v>
      </c>
      <c r="D1933" t="s">
        <v>5</v>
      </c>
    </row>
    <row r="1934" spans="1:4" x14ac:dyDescent="0.45">
      <c r="A1934" t="s">
        <v>1936</v>
      </c>
      <c r="B1934">
        <v>33.808007000000003</v>
      </c>
      <c r="C1934">
        <v>-118.3414464</v>
      </c>
      <c r="D1934" t="s">
        <v>5</v>
      </c>
    </row>
    <row r="1935" spans="1:4" x14ac:dyDescent="0.45">
      <c r="A1935" t="s">
        <v>1937</v>
      </c>
      <c r="B1935">
        <v>33.827049199999998</v>
      </c>
      <c r="C1935">
        <v>-118.32683489999999</v>
      </c>
      <c r="D1935" t="s">
        <v>5</v>
      </c>
    </row>
    <row r="1936" spans="1:4" x14ac:dyDescent="0.45">
      <c r="A1936" t="s">
        <v>1938</v>
      </c>
      <c r="B1936">
        <v>33.7780719</v>
      </c>
      <c r="C1936">
        <v>-118.337474</v>
      </c>
      <c r="D1936" t="s">
        <v>5</v>
      </c>
    </row>
    <row r="1937" spans="1:4" x14ac:dyDescent="0.45">
      <c r="A1937" t="s">
        <v>1939</v>
      </c>
      <c r="B1937">
        <v>33.750712700000001</v>
      </c>
      <c r="C1937">
        <v>-118.29591000000001</v>
      </c>
      <c r="D1937" t="str">
        <f>HYPERLINK("https://streetviewpixels-pa.googleapis.com/v1/thumbnail?panoid=fVx4HVQYJIvb_PJSXC89Gw&amp;cb_client=search.gws-prod.gps&amp;w=408&amp;h=240&amp;yaw=328.22418&amp;pitch=0&amp;thumbfov=100", "link")</f>
        <v>link</v>
      </c>
    </row>
    <row r="1938" spans="1:4" x14ac:dyDescent="0.45">
      <c r="A1938" t="s">
        <v>1940</v>
      </c>
      <c r="B1938">
        <v>33.7497477</v>
      </c>
      <c r="C1938">
        <v>-118.3076027</v>
      </c>
      <c r="D1938" t="str">
        <f>HYPERLINK("https://streetviewpixels-pa.googleapis.com/v1/thumbnail?panoid=qBO_2fWB_MBgNOTCcE5QSw&amp;cb_client=search.gws-prod.gps&amp;w=408&amp;h=240&amp;yaw=218.2886&amp;pitch=0&amp;thumbfov=100", "link")</f>
        <v>link</v>
      </c>
    </row>
    <row r="1939" spans="1:4" x14ac:dyDescent="0.45">
      <c r="A1939" t="s">
        <v>1941</v>
      </c>
      <c r="B1939">
        <v>33.749358200000003</v>
      </c>
      <c r="C1939">
        <v>-118.27873839999999</v>
      </c>
      <c r="D1939" t="s">
        <v>5</v>
      </c>
    </row>
    <row r="1940" spans="1:4" x14ac:dyDescent="0.45">
      <c r="A1940" t="s">
        <v>1942</v>
      </c>
      <c r="B1940">
        <v>33.749675600000003</v>
      </c>
      <c r="C1940">
        <v>-118.2763812</v>
      </c>
      <c r="D1940" t="str">
        <f>HYPERLINK("https://lh5.googleusercontent.com/p/AF1QipMzegW8d4IYLgTcpx2W6tnR70l00NyP0s1g8Kak=w408-h544-k-no", "link")</f>
        <v>link</v>
      </c>
    </row>
    <row r="1941" spans="1:4" x14ac:dyDescent="0.45">
      <c r="A1941" t="s">
        <v>1943</v>
      </c>
      <c r="B1941">
        <v>33.747188000000001</v>
      </c>
      <c r="C1941">
        <v>-118.280754</v>
      </c>
      <c r="D1941" t="str">
        <f>HYPERLINK("https://streetviewpixels-pa.googleapis.com/v1/thumbnail?panoid=fX4N1PKZAK7T54d-lNNGXw&amp;cb_client=search.gws-prod.gps&amp;w=408&amp;h=240&amp;yaw=281.39578&amp;pitch=0&amp;thumbfov=100", "link")</f>
        <v>link</v>
      </c>
    </row>
    <row r="1942" spans="1:4" x14ac:dyDescent="0.45">
      <c r="A1942" t="s">
        <v>1944</v>
      </c>
      <c r="B1942">
        <v>33.7478202</v>
      </c>
      <c r="C1942">
        <v>-118.31135449999999</v>
      </c>
      <c r="D1942" t="s">
        <v>5</v>
      </c>
    </row>
    <row r="1943" spans="1:4" x14ac:dyDescent="0.45">
      <c r="A1943" t="s">
        <v>1945</v>
      </c>
      <c r="B1943">
        <v>33.747599000000001</v>
      </c>
      <c r="C1943">
        <v>-118.2770596</v>
      </c>
      <c r="D1943" t="s">
        <v>5</v>
      </c>
    </row>
    <row r="1944" spans="1:4" x14ac:dyDescent="0.45">
      <c r="A1944" t="s">
        <v>1946</v>
      </c>
      <c r="B1944">
        <v>33.811239</v>
      </c>
      <c r="C1944">
        <v>-118.3419943</v>
      </c>
      <c r="D1944" t="s">
        <v>5</v>
      </c>
    </row>
    <row r="1945" spans="1:4" x14ac:dyDescent="0.45">
      <c r="A1945" t="s">
        <v>1947</v>
      </c>
      <c r="B1945">
        <v>33.809213100000001</v>
      </c>
      <c r="C1945">
        <v>-118.34336399999999</v>
      </c>
      <c r="D1945" t="s">
        <v>5</v>
      </c>
    </row>
    <row r="1946" spans="1:4" x14ac:dyDescent="0.45">
      <c r="A1946" t="s">
        <v>1948</v>
      </c>
      <c r="B1946">
        <v>33.810443900000003</v>
      </c>
      <c r="C1946">
        <v>-118.3427705</v>
      </c>
      <c r="D1946" t="s">
        <v>5</v>
      </c>
    </row>
    <row r="1947" spans="1:4" x14ac:dyDescent="0.45">
      <c r="A1947" t="s">
        <v>1949</v>
      </c>
      <c r="B1947">
        <v>33.809459699999998</v>
      </c>
      <c r="C1947">
        <v>-118.343501</v>
      </c>
      <c r="D1947" t="s">
        <v>5</v>
      </c>
    </row>
    <row r="1948" spans="1:4" x14ac:dyDescent="0.45">
      <c r="A1948" t="s">
        <v>1950</v>
      </c>
      <c r="B1948">
        <v>33.783748600000003</v>
      </c>
      <c r="C1948">
        <v>-118.3492995</v>
      </c>
      <c r="D1948" t="s">
        <v>5</v>
      </c>
    </row>
    <row r="1949" spans="1:4" x14ac:dyDescent="0.45">
      <c r="A1949" t="s">
        <v>1951</v>
      </c>
      <c r="B1949">
        <v>33.809638900000003</v>
      </c>
      <c r="C1949">
        <v>-118.3445511</v>
      </c>
      <c r="D1949" t="s">
        <v>5</v>
      </c>
    </row>
    <row r="1950" spans="1:4" x14ac:dyDescent="0.45">
      <c r="A1950" t="s">
        <v>1952</v>
      </c>
      <c r="B1950">
        <v>33.7623593</v>
      </c>
      <c r="C1950">
        <v>-118.28994230000001</v>
      </c>
      <c r="D1950" t="s">
        <v>5</v>
      </c>
    </row>
    <row r="1951" spans="1:4" x14ac:dyDescent="0.45">
      <c r="A1951" t="s">
        <v>1953</v>
      </c>
      <c r="B1951">
        <v>33.762417499999998</v>
      </c>
      <c r="C1951">
        <v>-118.30963989999999</v>
      </c>
      <c r="D1951" t="s">
        <v>5</v>
      </c>
    </row>
    <row r="1952" spans="1:4" x14ac:dyDescent="0.45">
      <c r="A1952" t="s">
        <v>1954</v>
      </c>
      <c r="B1952">
        <v>33.762379099999997</v>
      </c>
      <c r="C1952">
        <v>-118.30961910000001</v>
      </c>
      <c r="D1952" t="s">
        <v>5</v>
      </c>
    </row>
    <row r="1953" spans="1:4" x14ac:dyDescent="0.45">
      <c r="A1953" t="s">
        <v>1955</v>
      </c>
      <c r="B1953">
        <v>33.770605199999999</v>
      </c>
      <c r="C1953">
        <v>-118.2656308</v>
      </c>
      <c r="D1953" t="s">
        <v>5</v>
      </c>
    </row>
    <row r="1954" spans="1:4" x14ac:dyDescent="0.45">
      <c r="A1954" t="s">
        <v>1956</v>
      </c>
      <c r="B1954">
        <v>33.754214699999999</v>
      </c>
      <c r="C1954">
        <v>-118.2911527</v>
      </c>
      <c r="D1954" t="s">
        <v>5</v>
      </c>
    </row>
    <row r="1955" spans="1:4" x14ac:dyDescent="0.45">
      <c r="A1955" t="s">
        <v>1957</v>
      </c>
      <c r="B1955">
        <v>33.753971999999898</v>
      </c>
      <c r="C1955">
        <v>-118.2908738</v>
      </c>
      <c r="D1955" t="str">
        <f>HYPERLINK("https://streetviewpixels-pa.googleapis.com/v1/thumbnail?panoid=UAioX-zdKG9h0IO3CFhrAQ&amp;cb_client=search.gws-prod.gps&amp;w=408&amp;h=240&amp;yaw=1.1165693&amp;pitch=0&amp;thumbfov=100", "link")</f>
        <v>link</v>
      </c>
    </row>
    <row r="1956" spans="1:4" x14ac:dyDescent="0.45">
      <c r="A1956" t="s">
        <v>1958</v>
      </c>
      <c r="B1956">
        <v>33.740975599999999</v>
      </c>
      <c r="C1956">
        <v>-118.2876883</v>
      </c>
      <c r="D1956" t="str">
        <f>HYPERLINK("https://streetviewpixels-pa.googleapis.com/v1/thumbnail?panoid=71BOeh3jDemmERWkuXCqYg&amp;cb_client=search.gws-prod.gps&amp;w=408&amp;h=240&amp;yaw=79.397&amp;pitch=0&amp;thumbfov=100", "link")</f>
        <v>link</v>
      </c>
    </row>
    <row r="1957" spans="1:4" x14ac:dyDescent="0.45">
      <c r="A1957" t="s">
        <v>1959</v>
      </c>
      <c r="B1957">
        <v>33.907944899999997</v>
      </c>
      <c r="C1957">
        <v>-118.3519932</v>
      </c>
      <c r="D1957" t="str">
        <f>HYPERLINK("https://streetviewpixels-pa.googleapis.com/v1/thumbnail?panoid=VkrroS9uXe2nvtKjKGxYhw&amp;cb_client=search.gws-prod.gps&amp;w=408&amp;h=240&amp;yaw=85.64453&amp;pitch=0&amp;thumbfov=100", "link")</f>
        <v>link</v>
      </c>
    </row>
    <row r="1958" spans="1:4" x14ac:dyDescent="0.45">
      <c r="A1958" t="s">
        <v>1960</v>
      </c>
      <c r="B1958">
        <v>33.945825200000002</v>
      </c>
      <c r="C1958">
        <v>-118.3400965</v>
      </c>
      <c r="D1958" t="str">
        <f>HYPERLINK("https://streetviewpixels-pa.googleapis.com/v1/thumbnail?panoid=23Zu7M1Bhpv0z6zo3CGqNQ&amp;cb_client=search.gws-prod.gps&amp;w=408&amp;h=240&amp;yaw=285.30524&amp;pitch=0&amp;thumbfov=100", "link")</f>
        <v>link</v>
      </c>
    </row>
    <row r="1959" spans="1:4" x14ac:dyDescent="0.45">
      <c r="A1959" t="s">
        <v>1961</v>
      </c>
      <c r="B1959">
        <v>33.947234600000002</v>
      </c>
      <c r="C1959">
        <v>-118.3421433</v>
      </c>
      <c r="D1959" t="s">
        <v>5</v>
      </c>
    </row>
    <row r="1960" spans="1:4" x14ac:dyDescent="0.45">
      <c r="A1960" t="s">
        <v>1962</v>
      </c>
      <c r="B1960">
        <v>33.948866699999897</v>
      </c>
      <c r="C1960">
        <v>-118.3484847</v>
      </c>
      <c r="D1960" t="str">
        <f>HYPERLINK("https://streetviewpixels-pa.googleapis.com/v1/thumbnail?panoid=TwF2JGmc4Qk25-UCgfZHxg&amp;cb_client=search.gws-prod.gps&amp;w=408&amp;h=240&amp;yaw=175.24979&amp;pitch=0&amp;thumbfov=100", "link")</f>
        <v>link</v>
      </c>
    </row>
    <row r="1961" spans="1:4" x14ac:dyDescent="0.45">
      <c r="A1961" t="s">
        <v>1963</v>
      </c>
      <c r="B1961">
        <v>33.949406600000003</v>
      </c>
      <c r="C1961">
        <v>-118.346834</v>
      </c>
      <c r="D1961" t="s">
        <v>5</v>
      </c>
    </row>
    <row r="1962" spans="1:4" x14ac:dyDescent="0.45">
      <c r="A1962" t="s">
        <v>1964</v>
      </c>
      <c r="B1962">
        <v>33.9322734</v>
      </c>
      <c r="C1962">
        <v>-118.3508064</v>
      </c>
      <c r="D1962" t="str">
        <f>HYPERLINK("https://streetviewpixels-pa.googleapis.com/v1/thumbnail?panoid=mbiLZ5yu9ndDDE9l33MXoQ&amp;cb_client=search.gws-prod.gps&amp;w=408&amp;h=240&amp;yaw=228.39978&amp;pitch=0&amp;thumbfov=100", "link")</f>
        <v>link</v>
      </c>
    </row>
    <row r="1963" spans="1:4" x14ac:dyDescent="0.45">
      <c r="A1963" t="s">
        <v>1965</v>
      </c>
      <c r="B1963">
        <v>33.932280200000001</v>
      </c>
      <c r="C1963">
        <v>-118.3507116</v>
      </c>
      <c r="D1963" t="str">
        <f>HYPERLINK("https://lh5.googleusercontent.com/p/AF1QipMW26i8D-y1YhJ4cZIP5ncw50EcfacLEb-ZG-62=w408-h544-k-no", "link")</f>
        <v>link</v>
      </c>
    </row>
    <row r="1964" spans="1:4" x14ac:dyDescent="0.45">
      <c r="A1964" t="s">
        <v>1966</v>
      </c>
      <c r="B1964">
        <v>33.932124999999999</v>
      </c>
      <c r="C1964">
        <v>-118.3512097</v>
      </c>
      <c r="D1964" t="s">
        <v>5</v>
      </c>
    </row>
    <row r="1965" spans="1:4" x14ac:dyDescent="0.45">
      <c r="A1965" t="s">
        <v>1967</v>
      </c>
      <c r="B1965">
        <v>33.9344325</v>
      </c>
      <c r="C1965">
        <v>-118.35143309999999</v>
      </c>
      <c r="D1965" t="str">
        <f>HYPERLINK("https://streetviewpixels-pa.googleapis.com/v1/thumbnail?panoid=TVccJCTMhjBIgNi40Ne4Cg&amp;cb_client=search.gws-prod.gps&amp;w=408&amp;h=240&amp;yaw=172.34746&amp;pitch=0&amp;thumbfov=100", "link")</f>
        <v>link</v>
      </c>
    </row>
    <row r="1966" spans="1:4" x14ac:dyDescent="0.45">
      <c r="A1966" t="s">
        <v>1968</v>
      </c>
      <c r="B1966">
        <v>33.941920199999998</v>
      </c>
      <c r="C1966">
        <v>-118.3521231</v>
      </c>
      <c r="D1966" t="str">
        <f>HYPERLINK("https://streetviewpixels-pa.googleapis.com/v1/thumbnail?panoid=5GoMU1u398luv-4gJhI7Rg&amp;cb_client=search.gws-prod.gps&amp;w=408&amp;h=240&amp;yaw=99.21095&amp;pitch=0&amp;thumbfov=100", "link")</f>
        <v>link</v>
      </c>
    </row>
    <row r="1967" spans="1:4" x14ac:dyDescent="0.45">
      <c r="A1967" t="s">
        <v>1969</v>
      </c>
      <c r="B1967">
        <v>33.944133000000001</v>
      </c>
      <c r="C1967">
        <v>-118.352251</v>
      </c>
      <c r="D1967" t="s">
        <v>5</v>
      </c>
    </row>
    <row r="1968" spans="1:4" x14ac:dyDescent="0.45">
      <c r="A1968" t="s">
        <v>1970</v>
      </c>
      <c r="B1968">
        <v>33.944951500000002</v>
      </c>
      <c r="C1968">
        <v>-118.3487973</v>
      </c>
      <c r="D1968" t="s">
        <v>5</v>
      </c>
    </row>
    <row r="1969" spans="1:4" x14ac:dyDescent="0.45">
      <c r="A1969" t="s">
        <v>1971</v>
      </c>
      <c r="B1969">
        <v>33.945242800000003</v>
      </c>
      <c r="C1969">
        <v>-118.3484703</v>
      </c>
      <c r="D1969" t="str">
        <f>HYPERLINK("https://streetviewpixels-pa.googleapis.com/v1/thumbnail?panoid=pgtEKtxbfml8MUi1XtVoFg&amp;cb_client=search.gws-prod.gps&amp;w=408&amp;h=240&amp;yaw=164.2885&amp;pitch=0&amp;thumbfov=100", "link")</f>
        <v>link</v>
      </c>
    </row>
    <row r="1970" spans="1:4" x14ac:dyDescent="0.45">
      <c r="A1970" t="s">
        <v>1972</v>
      </c>
      <c r="B1970">
        <v>33.945171799999997</v>
      </c>
      <c r="C1970">
        <v>-118.3540387</v>
      </c>
      <c r="D1970" t="str">
        <f>HYPERLINK("https://streetviewpixels-pa.googleapis.com/v1/thumbnail?panoid=wKTeO8Va4c48D1zisqd9-g&amp;cb_client=search.gws-prod.gps&amp;w=408&amp;h=240&amp;yaw=272.60974&amp;pitch=0&amp;thumbfov=100", "link")</f>
        <v>link</v>
      </c>
    </row>
    <row r="1971" spans="1:4" x14ac:dyDescent="0.45">
      <c r="A1971" t="s">
        <v>1973</v>
      </c>
      <c r="B1971">
        <v>33.944778599999999</v>
      </c>
      <c r="C1971">
        <v>-118.3563973</v>
      </c>
      <c r="D1971" t="str">
        <f>HYPERLINK("https://streetviewpixels-pa.googleapis.com/v1/thumbnail?panoid=eEon3yL8Z_xBYzrFpx81Wg&amp;cb_client=search.gws-prod.gps&amp;w=408&amp;h=240&amp;yaw=255.74817&amp;pitch=0&amp;thumbfov=100", "link")</f>
        <v>link</v>
      </c>
    </row>
    <row r="1972" spans="1:4" x14ac:dyDescent="0.45">
      <c r="A1972" t="s">
        <v>1974</v>
      </c>
      <c r="B1972">
        <v>33.946040600000003</v>
      </c>
      <c r="C1972">
        <v>-118.3536065</v>
      </c>
      <c r="D1972" t="str">
        <f>HYPERLINK("https://streetviewpixels-pa.googleapis.com/v1/thumbnail?panoid=MJdZjjWJCzsp2R7yh_uUfQ&amp;cb_client=search.gws-prod.gps&amp;w=408&amp;h=240&amp;yaw=81.98448&amp;pitch=0&amp;thumbfov=100", "link")</f>
        <v>link</v>
      </c>
    </row>
    <row r="1973" spans="1:4" x14ac:dyDescent="0.45">
      <c r="A1973" t="s">
        <v>1975</v>
      </c>
      <c r="B1973">
        <v>33.945643799999999</v>
      </c>
      <c r="C1973">
        <v>-118.3582023</v>
      </c>
      <c r="D1973" t="s">
        <v>5</v>
      </c>
    </row>
    <row r="1974" spans="1:4" x14ac:dyDescent="0.45">
      <c r="A1974" t="s">
        <v>1976</v>
      </c>
      <c r="B1974">
        <v>33.945129000000001</v>
      </c>
      <c r="C1974">
        <v>-118.3620889</v>
      </c>
      <c r="D1974" t="str">
        <f>HYPERLINK("https://streetviewpixels-pa.googleapis.com/v1/thumbnail?panoid=95b3w7ZRXLjcShE9KJXD_A&amp;cb_client=search.gws-prod.gps&amp;w=408&amp;h=240&amp;yaw=37.00718&amp;pitch=0&amp;thumbfov=100", "link")</f>
        <v>link</v>
      </c>
    </row>
    <row r="1975" spans="1:4" x14ac:dyDescent="0.45">
      <c r="A1975" t="s">
        <v>1977</v>
      </c>
      <c r="B1975">
        <v>33.945991100000001</v>
      </c>
      <c r="C1975">
        <v>-118.33544379999999</v>
      </c>
      <c r="D1975" t="str">
        <f>HYPERLINK("https://lh5.googleusercontent.com/p/AF1QipOxYgERlCKfLqSRM9YEmTg6_iHQXPqgkv8yKrU9=w408-h306-k-no", "link")</f>
        <v>link</v>
      </c>
    </row>
    <row r="1976" spans="1:4" x14ac:dyDescent="0.45">
      <c r="A1976" t="s">
        <v>1978</v>
      </c>
      <c r="B1976">
        <v>33.951973899999999</v>
      </c>
      <c r="C1976">
        <v>-118.34945930000001</v>
      </c>
      <c r="D1976" t="str">
        <f>HYPERLINK("https://streetviewpixels-pa.googleapis.com/v1/thumbnail?panoid=F6VltQd6rHABxnBSoN0zdQ&amp;cb_client=search.gws-prod.gps&amp;w=408&amp;h=240&amp;yaw=228.27226&amp;pitch=0&amp;thumbfov=100", "link")</f>
        <v>link</v>
      </c>
    </row>
    <row r="1977" spans="1:4" x14ac:dyDescent="0.45">
      <c r="A1977" t="s">
        <v>1979</v>
      </c>
      <c r="B1977">
        <v>33.950352600000002</v>
      </c>
      <c r="C1977">
        <v>-118.3414464</v>
      </c>
      <c r="D1977" t="s">
        <v>5</v>
      </c>
    </row>
    <row r="1978" spans="1:4" x14ac:dyDescent="0.45">
      <c r="A1978" t="s">
        <v>1980</v>
      </c>
      <c r="B1978">
        <v>33.949228499999997</v>
      </c>
      <c r="C1978">
        <v>-118.337611</v>
      </c>
      <c r="D1978" t="s">
        <v>5</v>
      </c>
    </row>
    <row r="1979" spans="1:4" x14ac:dyDescent="0.45">
      <c r="A1979" t="s">
        <v>1981</v>
      </c>
      <c r="B1979">
        <v>33.951484000000001</v>
      </c>
      <c r="C1979">
        <v>-118.3434456</v>
      </c>
      <c r="D1979" t="str">
        <f>HYPERLINK("https://lh5.googleusercontent.com/p/AF1QipP-J_ub8fecr92GFo4xBI9BH8rjBmwlBkQzL8J4=w408-h306-k-no", "link")</f>
        <v>link</v>
      </c>
    </row>
    <row r="1980" spans="1:4" x14ac:dyDescent="0.45">
      <c r="A1980" t="s">
        <v>1982</v>
      </c>
      <c r="B1980">
        <v>33.950264900000001</v>
      </c>
      <c r="C1980">
        <v>-118.34109530000001</v>
      </c>
      <c r="D1980" t="str">
        <f>HYPERLINK("https://lh5.googleusercontent.com/p/AF1QipOqLQMg8ugobeAe6mox5XTK0sqeWk-sxl34NDpB=w408-h306-k-no", "link")</f>
        <v>link</v>
      </c>
    </row>
    <row r="1981" spans="1:4" x14ac:dyDescent="0.45">
      <c r="A1981" t="s">
        <v>1983</v>
      </c>
      <c r="B1981">
        <v>33.949009400000001</v>
      </c>
      <c r="C1981">
        <v>-118.3375937</v>
      </c>
      <c r="D1981" t="str">
        <f>HYPERLINK("https://lh5.googleusercontent.com/p/AF1QipMILzMgBRavI7G5sOKVLBlnD91bNDesewNPu43k=w408-h544-k-no", "link")</f>
        <v>link</v>
      </c>
    </row>
    <row r="1982" spans="1:4" x14ac:dyDescent="0.45">
      <c r="A1982" t="s">
        <v>1984</v>
      </c>
      <c r="B1982">
        <v>33.946175699999998</v>
      </c>
      <c r="C1982">
        <v>-118.3690735</v>
      </c>
      <c r="D1982" t="str">
        <f>HYPERLINK("https://streetviewpixels-pa.googleapis.com/v1/thumbnail?panoid=x9QbyP8JicyMWhn98upZAw&amp;cb_client=search.gws-prod.gps&amp;w=408&amp;h=240&amp;yaw=92.67274&amp;pitch=0&amp;thumbfov=100", "link")</f>
        <v>link</v>
      </c>
    </row>
    <row r="1983" spans="1:4" x14ac:dyDescent="0.45">
      <c r="A1983" t="s">
        <v>1985</v>
      </c>
      <c r="B1983">
        <v>33.954706999999999</v>
      </c>
      <c r="C1983">
        <v>-118.342962</v>
      </c>
      <c r="D1983" t="str">
        <f>HYPERLINK("https://lh5.googleusercontent.com/p/AF1QipMa1-05zmetKxQxOt7ZCdzzudjSW_a3bv24oXAl=w408-h544-k-no", "link")</f>
        <v>link</v>
      </c>
    </row>
    <row r="1984" spans="1:4" x14ac:dyDescent="0.45">
      <c r="A1984" t="s">
        <v>1986</v>
      </c>
      <c r="B1984">
        <v>33.946129900000003</v>
      </c>
      <c r="C1984">
        <v>-118.3348309</v>
      </c>
      <c r="D1984" t="str">
        <f>HYPERLINK("https://streetviewpixels-pa.googleapis.com/v1/thumbnail?panoid=wtXJ1WTblwboGG5wMafPug&amp;cb_client=search.gws-prod.gps&amp;w=408&amp;h=240&amp;yaw=37.46601&amp;pitch=0&amp;thumbfov=100", "link")</f>
        <v>link</v>
      </c>
    </row>
    <row r="1985" spans="1:4" x14ac:dyDescent="0.45">
      <c r="A1985" t="s">
        <v>1987</v>
      </c>
      <c r="B1985">
        <v>33.954678199999996</v>
      </c>
      <c r="C1985">
        <v>-118.3427248</v>
      </c>
      <c r="D1985" t="str">
        <f>HYPERLINK("https://lh5.googleusercontent.com/p/AF1QipMa1-05zmetKxQxOt7ZCdzzudjSW_a3bv24oXAl=w408-h544-k-no", "link")</f>
        <v>link</v>
      </c>
    </row>
    <row r="1986" spans="1:4" x14ac:dyDescent="0.45">
      <c r="A1986" t="s">
        <v>1988</v>
      </c>
      <c r="B1986">
        <v>33.946469800000003</v>
      </c>
      <c r="C1986">
        <v>-118.3693318</v>
      </c>
      <c r="D1986" t="str">
        <f>HYPERLINK("https://streetviewpixels-pa.googleapis.com/v1/thumbnail?panoid=m7X7xXFX2JkAeALmFYoaOg&amp;cb_client=search.gws-prod.gps&amp;w=408&amp;h=240&amp;yaw=56.153778&amp;pitch=0&amp;thumbfov=100", "link")</f>
        <v>link</v>
      </c>
    </row>
    <row r="1987" spans="1:4" x14ac:dyDescent="0.45">
      <c r="A1987" t="s">
        <v>1989</v>
      </c>
      <c r="B1987">
        <v>33.9526866</v>
      </c>
      <c r="C1987">
        <v>-118.36680149999999</v>
      </c>
      <c r="D1987" t="str">
        <f>HYPERLINK("https://lh5.googleusercontent.com/p/AF1QipOhtlpXqOnjCUd3UbyxHgPlp-Kimrp952R6ms03=w426-h240-k-no", "link")</f>
        <v>link</v>
      </c>
    </row>
    <row r="1988" spans="1:4" x14ac:dyDescent="0.45">
      <c r="A1988" t="s">
        <v>1990</v>
      </c>
      <c r="B1988">
        <v>33.847720000000002</v>
      </c>
      <c r="C1988">
        <v>-118.35307299999999</v>
      </c>
      <c r="D1988" t="str">
        <f>HYPERLINK("https://streetviewpixels-pa.googleapis.com/v1/thumbnail?panoid=QS0YHrfw0it7k6XotApQbA&amp;cb_client=search.gws-prod.gps&amp;w=408&amp;h=240&amp;yaw=94.91219&amp;pitch=0&amp;thumbfov=100", "link")</f>
        <v>link</v>
      </c>
    </row>
    <row r="1989" spans="1:4" x14ac:dyDescent="0.45">
      <c r="A1989" t="s">
        <v>1991</v>
      </c>
      <c r="B1989">
        <v>33.839257799999999</v>
      </c>
      <c r="C1989">
        <v>-118.35696969999999</v>
      </c>
      <c r="D1989" t="s">
        <v>5</v>
      </c>
    </row>
    <row r="1990" spans="1:4" x14ac:dyDescent="0.45">
      <c r="A1990" t="s">
        <v>1992</v>
      </c>
      <c r="B1990">
        <v>33.838901700000001</v>
      </c>
      <c r="C1990">
        <v>-118.3561479</v>
      </c>
      <c r="D1990" t="s">
        <v>5</v>
      </c>
    </row>
    <row r="1991" spans="1:4" x14ac:dyDescent="0.45">
      <c r="A1991" t="s">
        <v>1993</v>
      </c>
      <c r="B1991">
        <v>33.837893999999999</v>
      </c>
      <c r="C1991">
        <v>-118.3563305</v>
      </c>
      <c r="D1991" t="s">
        <v>5</v>
      </c>
    </row>
    <row r="1992" spans="1:4" x14ac:dyDescent="0.45">
      <c r="A1992" t="s">
        <v>1994</v>
      </c>
      <c r="B1992">
        <v>33.837205099999998</v>
      </c>
      <c r="C1992">
        <v>-118.3514019</v>
      </c>
      <c r="D1992" t="str">
        <f>HYPERLINK("https://streetviewpixels-pa.googleapis.com/v1/thumbnail?panoid=2a_3yn11pIz9VzphzdLr9A&amp;cb_client=search.gws-prod.gps&amp;w=408&amp;h=240&amp;yaw=187.00652&amp;pitch=0&amp;thumbfov=100", "link")</f>
        <v>link</v>
      </c>
    </row>
    <row r="1993" spans="1:4" x14ac:dyDescent="0.45">
      <c r="A1993" t="s">
        <v>1995</v>
      </c>
      <c r="B1993">
        <v>33.837116799999997</v>
      </c>
      <c r="C1993">
        <v>-118.3519131</v>
      </c>
      <c r="D1993" t="str">
        <f>HYPERLINK("https://streetviewpixels-pa.googleapis.com/v1/thumbnail?panoid=sCt4VrIbFTD0HfCvT59w2Q&amp;cb_client=search.gws-prod.gps&amp;w=408&amp;h=240&amp;yaw=272.2365&amp;pitch=0&amp;thumbfov=100", "link")</f>
        <v>link</v>
      </c>
    </row>
    <row r="1994" spans="1:4" x14ac:dyDescent="0.45">
      <c r="A1994" t="s">
        <v>1996</v>
      </c>
      <c r="B1994">
        <v>33.840443</v>
      </c>
      <c r="C1994">
        <v>-118.3435467</v>
      </c>
      <c r="D1994" t="s">
        <v>5</v>
      </c>
    </row>
    <row r="1995" spans="1:4" x14ac:dyDescent="0.45">
      <c r="A1995" t="s">
        <v>1997</v>
      </c>
      <c r="B1995">
        <v>33.835680000000004</v>
      </c>
      <c r="C1995">
        <v>-118.35181489999999</v>
      </c>
      <c r="D1995" t="str">
        <f>HYPERLINK("https://streetviewpixels-pa.googleapis.com/v1/thumbnail?panoid=17vRwSlFZL50pTQUrXJoWw&amp;cb_client=search.gws-prod.gps&amp;w=408&amp;h=240&amp;yaw=70.74981&amp;pitch=0&amp;thumbfov=100", "link")</f>
        <v>link</v>
      </c>
    </row>
    <row r="1996" spans="1:4" x14ac:dyDescent="0.45">
      <c r="A1996" t="s">
        <v>1998</v>
      </c>
      <c r="B1996">
        <v>33.838303699999898</v>
      </c>
      <c r="C1996">
        <v>-118.3430602</v>
      </c>
      <c r="D1996" t="str">
        <f>HYPERLINK("https://streetviewpixels-pa.googleapis.com/v1/thumbnail?panoid=UvkLTL9dMYskXfUgM13SaA&amp;cb_client=search.gws-prod.gps&amp;w=408&amp;h=240&amp;yaw=314.7736&amp;pitch=0&amp;thumbfov=100", "link")</f>
        <v>link</v>
      </c>
    </row>
    <row r="1997" spans="1:4" x14ac:dyDescent="0.45">
      <c r="A1997" t="s">
        <v>1999</v>
      </c>
      <c r="B1997">
        <v>33.837808000000003</v>
      </c>
      <c r="C1997">
        <v>-118.34318140000001</v>
      </c>
      <c r="D1997" t="str">
        <f>HYPERLINK("https://streetviewpixels-pa.googleapis.com/v1/thumbnail?panoid=6JXCVzHnveuI8KTU9RJOiw&amp;cb_client=search.gws-prod.gps&amp;w=408&amp;h=240&amp;yaw=22.390501&amp;pitch=0&amp;thumbfov=100", "link")</f>
        <v>link</v>
      </c>
    </row>
    <row r="1998" spans="1:4" x14ac:dyDescent="0.45">
      <c r="A1998" t="s">
        <v>2000</v>
      </c>
      <c r="B1998">
        <v>33.835025199999997</v>
      </c>
      <c r="C1998">
        <v>-118.34747659999999</v>
      </c>
      <c r="D1998" t="str">
        <f>HYPERLINK("https://streetviewpixels-pa.googleapis.com/v1/thumbnail?panoid=8aq6I3w17LrHahXG1oV-4A&amp;cb_client=search.gws-prod.gps&amp;w=408&amp;h=240&amp;yaw=167.5579&amp;pitch=0&amp;thumbfov=100", "link")</f>
        <v>link</v>
      </c>
    </row>
    <row r="1999" spans="1:4" x14ac:dyDescent="0.45">
      <c r="A1999" t="s">
        <v>2001</v>
      </c>
      <c r="B1999">
        <v>33.834164999999999</v>
      </c>
      <c r="C1999">
        <v>-118.352633</v>
      </c>
      <c r="D1999" t="str">
        <f>HYPERLINK("https://streetviewpixels-pa.googleapis.com/v1/thumbnail?panoid=eAiLCR9XK_IOJNZM4rrrmw&amp;cb_client=search.gws-prod.gps&amp;w=408&amp;h=240&amp;yaw=174.34601&amp;pitch=0&amp;thumbfov=100", "link")</f>
        <v>link</v>
      </c>
    </row>
    <row r="2000" spans="1:4" x14ac:dyDescent="0.45">
      <c r="A2000" t="s">
        <v>2002</v>
      </c>
      <c r="B2000">
        <v>33.834801800000001</v>
      </c>
      <c r="C2000">
        <v>-118.34783849999999</v>
      </c>
      <c r="D2000" t="str">
        <f>HYPERLINK("https://streetviewpixels-pa.googleapis.com/v1/thumbnail?panoid=ptKSP8vaPU6ng7IJ1vthiw&amp;cb_client=search.gws-prod.gps&amp;w=408&amp;h=240&amp;yaw=160.00941&amp;pitch=0&amp;thumbfov=100", "link")</f>
        <v>link</v>
      </c>
    </row>
    <row r="2001" spans="1:4" x14ac:dyDescent="0.45">
      <c r="A2001" t="s">
        <v>2003</v>
      </c>
      <c r="B2001">
        <v>33.832428399999998</v>
      </c>
      <c r="C2001">
        <v>-118.3547782</v>
      </c>
      <c r="D2001" t="s">
        <v>5</v>
      </c>
    </row>
    <row r="2002" spans="1:4" x14ac:dyDescent="0.45">
      <c r="A2002" t="s">
        <v>2004</v>
      </c>
      <c r="B2002">
        <v>33.834635300000002</v>
      </c>
      <c r="C2002">
        <v>-118.3656895</v>
      </c>
      <c r="D2002" t="s">
        <v>5</v>
      </c>
    </row>
    <row r="2003" spans="1:4" x14ac:dyDescent="0.45">
      <c r="A2003" t="s">
        <v>2005</v>
      </c>
      <c r="B2003">
        <v>33.830945499999999</v>
      </c>
      <c r="C2003">
        <v>-118.3507166</v>
      </c>
      <c r="D2003" t="str">
        <f>HYPERLINK("https://streetviewpixels-pa.googleapis.com/v1/thumbnail?panoid=ntCy9bWCKneo5aS9HTN01Q&amp;cb_client=search.gws-prod.gps&amp;w=408&amp;h=240&amp;yaw=189.71837&amp;pitch=0&amp;thumbfov=100", "link")</f>
        <v>link</v>
      </c>
    </row>
    <row r="2004" spans="1:4" x14ac:dyDescent="0.45">
      <c r="A2004" t="s">
        <v>2006</v>
      </c>
      <c r="B2004">
        <v>33.833965200000002</v>
      </c>
      <c r="C2004">
        <v>-118.3656438</v>
      </c>
      <c r="D2004" t="s">
        <v>5</v>
      </c>
    </row>
    <row r="2005" spans="1:4" x14ac:dyDescent="0.45">
      <c r="A2005" t="s">
        <v>2007</v>
      </c>
      <c r="B2005">
        <v>33.848627100000002</v>
      </c>
      <c r="C2005">
        <v>-118.3982085</v>
      </c>
      <c r="D2005" t="s">
        <v>5</v>
      </c>
    </row>
    <row r="2006" spans="1:4" x14ac:dyDescent="0.45">
      <c r="A2006" t="s">
        <v>2008</v>
      </c>
      <c r="B2006">
        <v>33.873181099999996</v>
      </c>
      <c r="C2006">
        <v>-118.388012</v>
      </c>
      <c r="D2006" t="str">
        <f>HYPERLINK("https://streetviewpixels-pa.googleapis.com/v1/thumbnail?panoid=up59NyNnsbN5Yxpvk7MpGg&amp;cb_client=search.gws-prod.gps&amp;w=408&amp;h=240&amp;yaw=12.3898325&amp;pitch=0&amp;thumbfov=100", "link")</f>
        <v>link</v>
      </c>
    </row>
    <row r="2007" spans="1:4" x14ac:dyDescent="0.45">
      <c r="A2007" t="s">
        <v>2009</v>
      </c>
      <c r="B2007">
        <v>33.874130999999998</v>
      </c>
      <c r="C2007">
        <v>-118.38773810000001</v>
      </c>
      <c r="D2007" t="s">
        <v>5</v>
      </c>
    </row>
    <row r="2008" spans="1:4" x14ac:dyDescent="0.45">
      <c r="A2008" t="s">
        <v>2010</v>
      </c>
      <c r="B2008">
        <v>33.845628900000001</v>
      </c>
      <c r="C2008">
        <v>-118.39467620000001</v>
      </c>
      <c r="D2008" t="s">
        <v>5</v>
      </c>
    </row>
    <row r="2009" spans="1:4" x14ac:dyDescent="0.45">
      <c r="A2009" t="s">
        <v>2011</v>
      </c>
      <c r="B2009">
        <v>33.845476400000003</v>
      </c>
      <c r="C2009">
        <v>-118.39290889999999</v>
      </c>
      <c r="D2009" t="str">
        <f>HYPERLINK("https://streetviewpixels-pa.googleapis.com/v1/thumbnail?panoid=EocCQyE66xqFMloYJ3zPnw&amp;cb_client=search.gws-prod.gps&amp;w=408&amp;h=240&amp;yaw=70.27827&amp;pitch=0&amp;thumbfov=100", "link")</f>
        <v>link</v>
      </c>
    </row>
    <row r="2010" spans="1:4" x14ac:dyDescent="0.45">
      <c r="A2010" t="s">
        <v>2012</v>
      </c>
      <c r="B2010">
        <v>33.844507800000002</v>
      </c>
      <c r="C2010">
        <v>-118.39595420000001</v>
      </c>
      <c r="D2010" t="s">
        <v>5</v>
      </c>
    </row>
    <row r="2011" spans="1:4" x14ac:dyDescent="0.45">
      <c r="A2011" t="s">
        <v>2013</v>
      </c>
      <c r="B2011">
        <v>33.844883699999997</v>
      </c>
      <c r="C2011">
        <v>-118.39348940000001</v>
      </c>
      <c r="D2011" t="s">
        <v>5</v>
      </c>
    </row>
    <row r="2012" spans="1:4" x14ac:dyDescent="0.45">
      <c r="A2012" t="s">
        <v>2014</v>
      </c>
      <c r="B2012">
        <v>33.845027999999999</v>
      </c>
      <c r="C2012">
        <v>-118.392619</v>
      </c>
      <c r="D2012" t="str">
        <f>HYPERLINK("https://lh5.googleusercontent.com/p/AF1QipM3-IF9BegqdF-e0jZDlf8IrxgsA6HB8dl-5IXC=w408-h306-k-no", "link")</f>
        <v>link</v>
      </c>
    </row>
    <row r="2013" spans="1:4" x14ac:dyDescent="0.45">
      <c r="A2013" t="s">
        <v>2015</v>
      </c>
      <c r="B2013">
        <v>33.846248000000003</v>
      </c>
      <c r="C2013">
        <v>-118.3872717</v>
      </c>
      <c r="D2013" t="str">
        <f>HYPERLINK("https://streetviewpixels-pa.googleapis.com/v1/thumbnail?panoid=NweW8n7xv67UUk4tRutMQQ&amp;cb_client=search.gws-prod.gps&amp;w=408&amp;h=240&amp;yaw=122.572334&amp;pitch=0&amp;thumbfov=100", "link")</f>
        <v>link</v>
      </c>
    </row>
    <row r="2014" spans="1:4" x14ac:dyDescent="0.45">
      <c r="A2014" t="s">
        <v>2016</v>
      </c>
      <c r="B2014">
        <v>33.8438315</v>
      </c>
      <c r="C2014">
        <v>-118.3929285</v>
      </c>
      <c r="D2014" t="str">
        <f>HYPERLINK("https://lh5.googleusercontent.com/p/AF1QipNo1R5uBSMR0z6fhH5b3MIMBRsy0a5cgC_i3I8P=w408-h306-k-no", "link")</f>
        <v>link</v>
      </c>
    </row>
    <row r="2015" spans="1:4" x14ac:dyDescent="0.45">
      <c r="A2015" t="s">
        <v>2017</v>
      </c>
      <c r="B2015">
        <v>33.843119000000002</v>
      </c>
      <c r="C2015">
        <v>-118.3916074</v>
      </c>
      <c r="D2015" t="str">
        <f>HYPERLINK("https://lh5.googleusercontent.com/p/AF1QipMCb-mwQvcQnxZmCidGZDaQKROjx9_OrwKlEnjR=w426-h240-k-no", "link")</f>
        <v>link</v>
      </c>
    </row>
    <row r="2016" spans="1:4" x14ac:dyDescent="0.45">
      <c r="A2016" t="s">
        <v>2018</v>
      </c>
      <c r="B2016">
        <v>33.883510000000001</v>
      </c>
      <c r="C2016">
        <v>-118.4093872</v>
      </c>
      <c r="D2016" t="str">
        <f>HYPERLINK("https://streetviewpixels-pa.googleapis.com/v1/thumbnail?panoid=-RWIcI_oaqjDfDSlgzk-jQ&amp;cb_client=search.gws-prod.gps&amp;w=408&amp;h=240&amp;yaw=115.95658&amp;pitch=0&amp;thumbfov=100", "link")</f>
        <v>link</v>
      </c>
    </row>
    <row r="2017" spans="1:4" x14ac:dyDescent="0.45">
      <c r="A2017" t="s">
        <v>2019</v>
      </c>
      <c r="B2017">
        <v>33.885020900000001</v>
      </c>
      <c r="C2017">
        <v>-118.3965263</v>
      </c>
      <c r="D2017" t="str">
        <f>HYPERLINK("https://streetviewpixels-pa.googleapis.com/v1/thumbnail?panoid=vIMpGMNTw87uEN9UamPv1g&amp;cb_client=search.gws-prod.gps&amp;w=408&amp;h=240&amp;yaw=333.65207&amp;pitch=0&amp;thumbfov=100", "link")</f>
        <v>link</v>
      </c>
    </row>
    <row r="2018" spans="1:4" x14ac:dyDescent="0.45">
      <c r="A2018" t="s">
        <v>2020</v>
      </c>
      <c r="B2018">
        <v>33.883980600000001</v>
      </c>
      <c r="C2018">
        <v>-118.4116119</v>
      </c>
      <c r="D2018" t="s">
        <v>5</v>
      </c>
    </row>
    <row r="2019" spans="1:4" x14ac:dyDescent="0.45">
      <c r="A2019" t="s">
        <v>2021</v>
      </c>
      <c r="B2019">
        <v>33.884956299999999</v>
      </c>
      <c r="C2019">
        <v>-118.4082009</v>
      </c>
      <c r="D2019" t="str">
        <f>HYPERLINK("https://streetviewpixels-pa.googleapis.com/v1/thumbnail?panoid=Z9yyvY3AP8hhMcoZ9RGFEQ&amp;cb_client=search.gws-prod.gps&amp;w=408&amp;h=240&amp;yaw=121.031746&amp;pitch=0&amp;thumbfov=100", "link")</f>
        <v>link</v>
      </c>
    </row>
    <row r="2020" spans="1:4" x14ac:dyDescent="0.45">
      <c r="A2020" t="s">
        <v>2022</v>
      </c>
      <c r="B2020">
        <v>33.884101700000002</v>
      </c>
      <c r="C2020">
        <v>-118.41128999999999</v>
      </c>
      <c r="D2020" t="s">
        <v>5</v>
      </c>
    </row>
    <row r="2021" spans="1:4" x14ac:dyDescent="0.45">
      <c r="A2021" t="s">
        <v>2023</v>
      </c>
      <c r="B2021">
        <v>33.884094999999903</v>
      </c>
      <c r="C2021">
        <v>-118.4113402</v>
      </c>
      <c r="D2021" t="s">
        <v>5</v>
      </c>
    </row>
    <row r="2022" spans="1:4" x14ac:dyDescent="0.45">
      <c r="A2022" t="s">
        <v>2024</v>
      </c>
      <c r="B2022">
        <v>33.884000499999999</v>
      </c>
      <c r="C2022">
        <v>-118.41167369999999</v>
      </c>
      <c r="D2022" t="s">
        <v>5</v>
      </c>
    </row>
    <row r="2023" spans="1:4" x14ac:dyDescent="0.45">
      <c r="A2023" t="s">
        <v>2025</v>
      </c>
      <c r="B2023">
        <v>33.884688699999998</v>
      </c>
      <c r="C2023">
        <v>-118.4116377</v>
      </c>
      <c r="D2023" t="s">
        <v>5</v>
      </c>
    </row>
    <row r="2024" spans="1:4" x14ac:dyDescent="0.45">
      <c r="A2024" t="s">
        <v>2026</v>
      </c>
      <c r="B2024">
        <v>33.863010000000003</v>
      </c>
      <c r="C2024">
        <v>-118.40106299999999</v>
      </c>
      <c r="D2024" t="s">
        <v>5</v>
      </c>
    </row>
    <row r="2025" spans="1:4" x14ac:dyDescent="0.45">
      <c r="A2025" t="s">
        <v>2027</v>
      </c>
      <c r="B2025">
        <v>33.862630099999997</v>
      </c>
      <c r="C2025">
        <v>-118.40102469999999</v>
      </c>
      <c r="D2025" t="s">
        <v>5</v>
      </c>
    </row>
    <row r="2026" spans="1:4" x14ac:dyDescent="0.45">
      <c r="A2026" t="s">
        <v>2028</v>
      </c>
      <c r="B2026">
        <v>33.862623599999999</v>
      </c>
      <c r="C2026">
        <v>-118.4010663</v>
      </c>
      <c r="D2026" t="s">
        <v>5</v>
      </c>
    </row>
    <row r="2027" spans="1:4" x14ac:dyDescent="0.45">
      <c r="A2027" t="s">
        <v>2029</v>
      </c>
      <c r="B2027">
        <v>33.863054599999998</v>
      </c>
      <c r="C2027">
        <v>-118.401888</v>
      </c>
      <c r="D2027" t="s">
        <v>5</v>
      </c>
    </row>
    <row r="2028" spans="1:4" x14ac:dyDescent="0.45">
      <c r="A2028" t="s">
        <v>2030</v>
      </c>
      <c r="B2028">
        <v>33.863559299999899</v>
      </c>
      <c r="C2028">
        <v>-118.3995395</v>
      </c>
      <c r="D2028" t="str">
        <f>HYPERLINK("https://streetviewpixels-pa.googleapis.com/v1/thumbnail?panoid=QTnkrJlQ0af9m--BP4rAyw&amp;cb_client=search.gws-prod.gps&amp;w=408&amp;h=240&amp;yaw=269.49792&amp;pitch=0&amp;thumbfov=100", "link")</f>
        <v>link</v>
      </c>
    </row>
    <row r="2029" spans="1:4" x14ac:dyDescent="0.45">
      <c r="A2029" t="s">
        <v>2031</v>
      </c>
      <c r="B2029">
        <v>33.861468199999997</v>
      </c>
      <c r="C2029">
        <v>-118.40057950000001</v>
      </c>
      <c r="D2029" t="str">
        <f>HYPERLINK("https://lh5.googleusercontent.com/p/AF1QipOkWX-73mDUXpUU3tH2PErlrr9SHd6pabWMZrGD=w408-h306-k-no", "link")</f>
        <v>link</v>
      </c>
    </row>
    <row r="2030" spans="1:4" x14ac:dyDescent="0.45">
      <c r="A2030" t="s">
        <v>2032</v>
      </c>
      <c r="B2030">
        <v>33.861272</v>
      </c>
      <c r="C2030">
        <v>-118.40048059999999</v>
      </c>
      <c r="D2030" t="str">
        <f>HYPERLINK("https://streetviewpixels-pa.googleapis.com/v1/thumbnail?panoid=2P4ShwI46oKSdZL-TVbDpQ&amp;cb_client=search.gws-prod.gps&amp;w=408&amp;h=240&amp;yaw=177.94627&amp;pitch=0&amp;thumbfov=100", "link")</f>
        <v>link</v>
      </c>
    </row>
    <row r="2031" spans="1:4" x14ac:dyDescent="0.45">
      <c r="A2031" t="s">
        <v>2033</v>
      </c>
      <c r="B2031">
        <v>33.864230599999999</v>
      </c>
      <c r="C2031">
        <v>-118.3981252</v>
      </c>
      <c r="D2031" t="str">
        <f>HYPERLINK("https://streetviewpixels-pa.googleapis.com/v1/thumbnail?panoid=6yUqDw8o9WX3hd6FGjxnlA&amp;cb_client=search.gws-prod.gps&amp;w=408&amp;h=240&amp;yaw=335.25034&amp;pitch=0&amp;thumbfov=100", "link")</f>
        <v>link</v>
      </c>
    </row>
    <row r="2032" spans="1:4" x14ac:dyDescent="0.45">
      <c r="A2032" t="s">
        <v>2034</v>
      </c>
      <c r="B2032">
        <v>33.860146499999999</v>
      </c>
      <c r="C2032">
        <v>-118.3987157</v>
      </c>
      <c r="D2032" t="str">
        <f>HYPERLINK("https://streetviewpixels-pa.googleapis.com/v1/thumbnail?panoid=FvLcHrKzUJqZlQbghZEpYQ&amp;cb_client=search.gws-prod.gps&amp;w=408&amp;h=240&amp;yaw=264.90268&amp;pitch=0&amp;thumbfov=100", "link")</f>
        <v>link</v>
      </c>
    </row>
    <row r="2033" spans="1:4" x14ac:dyDescent="0.45">
      <c r="A2033" t="s">
        <v>2035</v>
      </c>
      <c r="B2033">
        <v>33.863150599999997</v>
      </c>
      <c r="C2033">
        <v>-118.3952949</v>
      </c>
      <c r="D2033" t="str">
        <f>HYPERLINK("https://streetviewpixels-pa.googleapis.com/v1/thumbnail?panoid=pX_q_PyVUPan6PH73LTH1w&amp;cb_client=search.gws-prod.gps&amp;w=408&amp;h=240&amp;yaw=282.2511&amp;pitch=0&amp;thumbfov=100", "link")</f>
        <v>link</v>
      </c>
    </row>
    <row r="2034" spans="1:4" x14ac:dyDescent="0.45">
      <c r="A2034" t="s">
        <v>2036</v>
      </c>
      <c r="B2034">
        <v>33.862312299999999</v>
      </c>
      <c r="C2034">
        <v>-118.3953092</v>
      </c>
      <c r="D2034" t="str">
        <f>HYPERLINK("https://streetviewpixels-pa.googleapis.com/v1/thumbnail?panoid=gPGjdOqLZG6rhLTMt9_5Og&amp;cb_client=search.gws-prod.gps&amp;w=408&amp;h=240&amp;yaw=178.88145&amp;pitch=0&amp;thumbfov=100", "link")</f>
        <v>link</v>
      </c>
    </row>
    <row r="2035" spans="1:4" x14ac:dyDescent="0.45">
      <c r="A2035" t="s">
        <v>2037</v>
      </c>
      <c r="B2035">
        <v>33.8639473</v>
      </c>
      <c r="C2035">
        <v>-118.3944936</v>
      </c>
      <c r="D2035" t="s">
        <v>5</v>
      </c>
    </row>
    <row r="2036" spans="1:4" x14ac:dyDescent="0.45">
      <c r="A2036" t="s">
        <v>2038</v>
      </c>
      <c r="B2036">
        <v>33.861491700000002</v>
      </c>
      <c r="C2036">
        <v>-118.39453930000001</v>
      </c>
      <c r="D2036" t="s">
        <v>5</v>
      </c>
    </row>
    <row r="2037" spans="1:4" x14ac:dyDescent="0.45">
      <c r="A2037" t="s">
        <v>2039</v>
      </c>
      <c r="B2037">
        <v>33.860847499999998</v>
      </c>
      <c r="C2037">
        <v>-118.39440209999999</v>
      </c>
      <c r="D2037" t="s">
        <v>5</v>
      </c>
    </row>
    <row r="2038" spans="1:4" x14ac:dyDescent="0.45">
      <c r="A2038" t="s">
        <v>2040</v>
      </c>
      <c r="B2038">
        <v>33.857490499999997</v>
      </c>
      <c r="C2038">
        <v>-118.39467620000001</v>
      </c>
      <c r="D2038" t="s">
        <v>5</v>
      </c>
    </row>
    <row r="2039" spans="1:4" x14ac:dyDescent="0.45">
      <c r="A2039" t="s">
        <v>2041</v>
      </c>
      <c r="B2039">
        <v>33.873148499999999</v>
      </c>
      <c r="C2039">
        <v>-118.3998339</v>
      </c>
      <c r="D2039" t="s">
        <v>5</v>
      </c>
    </row>
    <row r="2040" spans="1:4" x14ac:dyDescent="0.45">
      <c r="A2040" t="s">
        <v>2042</v>
      </c>
      <c r="B2040">
        <v>33.874054200000003</v>
      </c>
      <c r="C2040">
        <v>-118.40229859999999</v>
      </c>
      <c r="D2040" t="s">
        <v>5</v>
      </c>
    </row>
    <row r="2041" spans="1:4" x14ac:dyDescent="0.45">
      <c r="A2041" t="s">
        <v>2043</v>
      </c>
      <c r="B2041">
        <v>33.874060900000003</v>
      </c>
      <c r="C2041">
        <v>-118.4027674</v>
      </c>
      <c r="D2041" t="str">
        <f>HYPERLINK("https://streetviewpixels-pa.googleapis.com/v1/thumbnail?panoid=fghXUXhyDPqSmAV7DcCoGw&amp;cb_client=search.gws-prod.gps&amp;w=408&amp;h=240&amp;yaw=11.229219&amp;pitch=0&amp;thumbfov=100", "link")</f>
        <v>link</v>
      </c>
    </row>
    <row r="2042" spans="1:4" x14ac:dyDescent="0.45">
      <c r="A2042" t="s">
        <v>2044</v>
      </c>
      <c r="B2042">
        <v>33.8523438</v>
      </c>
      <c r="C2042">
        <v>-118.3966775</v>
      </c>
      <c r="D2042" t="str">
        <f>HYPERLINK("https://streetviewpixels-pa.googleapis.com/v1/thumbnail?panoid=FzNcusQYV3fDpOqObt7pFA&amp;cb_client=search.gws-prod.gps&amp;w=408&amp;h=240&amp;yaw=176.62903&amp;pitch=0&amp;thumbfov=100", "link")</f>
        <v>link</v>
      </c>
    </row>
    <row r="2043" spans="1:4" x14ac:dyDescent="0.45">
      <c r="A2043" t="s">
        <v>2045</v>
      </c>
      <c r="B2043">
        <v>33.851705000000003</v>
      </c>
      <c r="C2043">
        <v>-118.3987872</v>
      </c>
      <c r="D2043" t="str">
        <f>HYPERLINK("https://streetviewpixels-pa.googleapis.com/v1/thumbnail?panoid=Jm3Are5F8zFiZMpU4kw2DQ&amp;cb_client=search.gws-prod.gps&amp;w=408&amp;h=240&amp;yaw=276.16458&amp;pitch=0&amp;thumbfov=100", "link")</f>
        <v>link</v>
      </c>
    </row>
    <row r="2044" spans="1:4" x14ac:dyDescent="0.45">
      <c r="A2044" t="s">
        <v>2046</v>
      </c>
      <c r="B2044">
        <v>33.8406795</v>
      </c>
      <c r="C2044">
        <v>-118.3913898</v>
      </c>
      <c r="D2044" t="s">
        <v>5</v>
      </c>
    </row>
    <row r="2045" spans="1:4" x14ac:dyDescent="0.45">
      <c r="A2045" t="s">
        <v>2047</v>
      </c>
      <c r="B2045">
        <v>33.840120200000001</v>
      </c>
      <c r="C2045">
        <v>-118.39083599999999</v>
      </c>
      <c r="D2045" t="s">
        <v>5</v>
      </c>
    </row>
    <row r="2046" spans="1:4" x14ac:dyDescent="0.45">
      <c r="A2046" t="s">
        <v>2048</v>
      </c>
      <c r="B2046">
        <v>33.840138000000003</v>
      </c>
      <c r="C2046">
        <v>-118.388803</v>
      </c>
      <c r="D2046" t="s">
        <v>5</v>
      </c>
    </row>
    <row r="2047" spans="1:4" x14ac:dyDescent="0.45">
      <c r="A2047" t="s">
        <v>2049</v>
      </c>
      <c r="B2047">
        <v>33.838681299999898</v>
      </c>
      <c r="C2047">
        <v>-118.3900639</v>
      </c>
      <c r="D2047" t="str">
        <f>HYPERLINK("https://lh5.googleusercontent.com/p/AF1QipPPwp8foovX6J6VDuUmRSFO3pWBbriZPNC4FGnK=w408-h544-k-no", "link")</f>
        <v>link</v>
      </c>
    </row>
    <row r="2048" spans="1:4" x14ac:dyDescent="0.45">
      <c r="A2048" t="s">
        <v>2050</v>
      </c>
      <c r="B2048">
        <v>33.837946199999998</v>
      </c>
      <c r="C2048">
        <v>-118.3884719</v>
      </c>
      <c r="D2048" t="str">
        <f>HYPERLINK("https://streetviewpixels-pa.googleapis.com/v1/thumbnail?panoid=KmIoouYf-z4JD42jlwSfJQ&amp;cb_client=search.gws-prod.gps&amp;w=408&amp;h=240&amp;yaw=210.4212&amp;pitch=0&amp;thumbfov=100", "link")</f>
        <v>link</v>
      </c>
    </row>
    <row r="2049" spans="1:4" x14ac:dyDescent="0.45">
      <c r="A2049" t="s">
        <v>2051</v>
      </c>
      <c r="B2049">
        <v>33.837701699999997</v>
      </c>
      <c r="C2049">
        <v>-118.3876696</v>
      </c>
      <c r="D2049" t="str">
        <f>HYPERLINK("https://streetviewpixels-pa.googleapis.com/v1/thumbnail?panoid=OSoTFcElN04F059fnwuaOA&amp;cb_client=search.gws-prod.gps&amp;w=408&amp;h=240&amp;yaw=83.228325&amp;pitch=0&amp;thumbfov=100", "link")</f>
        <v>link</v>
      </c>
    </row>
    <row r="2050" spans="1:4" x14ac:dyDescent="0.45">
      <c r="A2050" t="s">
        <v>2052</v>
      </c>
      <c r="B2050">
        <v>33.837180699999998</v>
      </c>
      <c r="C2050">
        <v>-118.389995</v>
      </c>
      <c r="D2050" t="s">
        <v>5</v>
      </c>
    </row>
    <row r="2051" spans="1:4" x14ac:dyDescent="0.45">
      <c r="A2051" t="s">
        <v>2053</v>
      </c>
      <c r="B2051">
        <v>33.885414300000001</v>
      </c>
      <c r="C2051">
        <v>-118.4101745</v>
      </c>
      <c r="D2051" t="str">
        <f>HYPERLINK("https://streetviewpixels-pa.googleapis.com/v1/thumbnail?panoid=fasOauT7r5U-3wJuVgrd7Q&amp;cb_client=search.gws-prod.gps&amp;w=408&amp;h=240&amp;yaw=216.50076&amp;pitch=0&amp;thumbfov=100", "link")</f>
        <v>link</v>
      </c>
    </row>
    <row r="2052" spans="1:4" x14ac:dyDescent="0.45">
      <c r="A2052" t="s">
        <v>2054</v>
      </c>
      <c r="B2052">
        <v>33.884702599999997</v>
      </c>
      <c r="C2052">
        <v>-118.4116094</v>
      </c>
      <c r="D2052" t="s">
        <v>5</v>
      </c>
    </row>
    <row r="2053" spans="1:4" x14ac:dyDescent="0.45">
      <c r="A2053" t="s">
        <v>2055</v>
      </c>
      <c r="B2053">
        <v>33.885877899999997</v>
      </c>
      <c r="C2053">
        <v>-118.409176</v>
      </c>
      <c r="D2053" t="str">
        <f>HYPERLINK("https://streetviewpixels-pa.googleapis.com/v1/thumbnail?panoid=W1wCxjMScRCF2DPPcKP2rw&amp;cb_client=search.gws-prod.gps&amp;w=408&amp;h=240&amp;yaw=94.43703&amp;pitch=0&amp;thumbfov=100", "link")</f>
        <v>link</v>
      </c>
    </row>
    <row r="2054" spans="1:4" x14ac:dyDescent="0.45">
      <c r="A2054" t="s">
        <v>2056</v>
      </c>
      <c r="B2054">
        <v>33.886270099999997</v>
      </c>
      <c r="C2054">
        <v>-118.40864190000001</v>
      </c>
      <c r="D2054" t="s">
        <v>5</v>
      </c>
    </row>
    <row r="2055" spans="1:4" x14ac:dyDescent="0.45">
      <c r="A2055" t="s">
        <v>2057</v>
      </c>
      <c r="B2055">
        <v>33.884824100000003</v>
      </c>
      <c r="C2055">
        <v>-118.41213879999999</v>
      </c>
      <c r="D2055" t="s">
        <v>5</v>
      </c>
    </row>
    <row r="2056" spans="1:4" x14ac:dyDescent="0.45">
      <c r="A2056" t="s">
        <v>2058</v>
      </c>
      <c r="B2056">
        <v>33.885674999999999</v>
      </c>
      <c r="C2056">
        <v>-118.41060539999999</v>
      </c>
      <c r="D2056" t="s">
        <v>5</v>
      </c>
    </row>
    <row r="2057" spans="1:4" x14ac:dyDescent="0.45">
      <c r="A2057" t="s">
        <v>2059</v>
      </c>
      <c r="B2057">
        <v>33.885645799999999</v>
      </c>
      <c r="C2057">
        <v>-118.4107796</v>
      </c>
      <c r="D2057" t="s">
        <v>5</v>
      </c>
    </row>
    <row r="2058" spans="1:4" x14ac:dyDescent="0.45">
      <c r="A2058" t="s">
        <v>2060</v>
      </c>
      <c r="B2058">
        <v>33.8864643</v>
      </c>
      <c r="C2058">
        <v>-118.40895070000001</v>
      </c>
      <c r="D2058" t="s">
        <v>5</v>
      </c>
    </row>
    <row r="2059" spans="1:4" x14ac:dyDescent="0.45">
      <c r="A2059" t="s">
        <v>2061</v>
      </c>
      <c r="B2059">
        <v>33.886128800000002</v>
      </c>
      <c r="C2059">
        <v>-118.4100031</v>
      </c>
      <c r="D2059" t="str">
        <f>HYPERLINK("https://streetviewpixels-pa.googleapis.com/v1/thumbnail?panoid=KQtgbNHk6enB-P2Kzb-dTg&amp;cb_client=search.gws-prod.gps&amp;w=408&amp;h=240&amp;yaw=60.125275&amp;pitch=0&amp;thumbfov=100", "link")</f>
        <v>link</v>
      </c>
    </row>
    <row r="2060" spans="1:4" x14ac:dyDescent="0.45">
      <c r="A2060" t="s">
        <v>2062</v>
      </c>
      <c r="B2060">
        <v>33.886826699999901</v>
      </c>
      <c r="C2060">
        <v>-118.4098056</v>
      </c>
      <c r="D2060" t="s">
        <v>5</v>
      </c>
    </row>
    <row r="2061" spans="1:4" x14ac:dyDescent="0.45">
      <c r="A2061" t="s">
        <v>2063</v>
      </c>
      <c r="B2061">
        <v>33.8872693</v>
      </c>
      <c r="C2061">
        <v>-118.40901820000001</v>
      </c>
      <c r="D2061" t="str">
        <f>HYPERLINK("https://streetviewpixels-pa.googleapis.com/v1/thumbnail?panoid=VDWOgNRKgOB5-3dzttaMJg&amp;cb_client=search.gws-prod.gps&amp;w=408&amp;h=240&amp;yaw=254.4387&amp;pitch=0&amp;thumbfov=100", "link")</f>
        <v>link</v>
      </c>
    </row>
    <row r="2062" spans="1:4" x14ac:dyDescent="0.45">
      <c r="A2062" t="s">
        <v>2064</v>
      </c>
      <c r="B2062">
        <v>33.887544200000001</v>
      </c>
      <c r="C2062">
        <v>-118.4100866</v>
      </c>
      <c r="D2062" t="str">
        <f>HYPERLINK("https://streetviewpixels-pa.googleapis.com/v1/thumbnail?panoid=H1yil_UMup8jOZyZukiMZA&amp;cb_client=search.gws-prod.gps&amp;w=408&amp;h=240&amp;yaw=115.35208&amp;pitch=0&amp;thumbfov=100", "link")</f>
        <v>link</v>
      </c>
    </row>
    <row r="2063" spans="1:4" x14ac:dyDescent="0.45">
      <c r="A2063" t="s">
        <v>2065</v>
      </c>
      <c r="B2063">
        <v>33.9754583</v>
      </c>
      <c r="C2063">
        <v>-118.2241599</v>
      </c>
      <c r="D2063" t="str">
        <f>HYPERLINK("https://streetviewpixels-pa.googleapis.com/v1/thumbnail?panoid=fy_QGFHMmYH-0JwKKfWDXg&amp;cb_client=search.gws-prod.gps&amp;w=408&amp;h=240&amp;yaw=261.50928&amp;pitch=0&amp;thumbfov=100", "link")</f>
        <v>link</v>
      </c>
    </row>
    <row r="2064" spans="1:4" x14ac:dyDescent="0.45">
      <c r="A2064" t="s">
        <v>2066</v>
      </c>
      <c r="B2064">
        <v>33.979697100000003</v>
      </c>
      <c r="C2064">
        <v>-118.2236587</v>
      </c>
      <c r="D2064" t="str">
        <f>HYPERLINK("https://streetviewpixels-pa.googleapis.com/v1/thumbnail?panoid=A_HPUd-9Ier4sWD6h0wrWg&amp;cb_client=search.gws-prod.gps&amp;w=408&amp;h=240&amp;yaw=82.2104&amp;pitch=0&amp;thumbfov=100", "link")</f>
        <v>link</v>
      </c>
    </row>
    <row r="2065" spans="1:4" x14ac:dyDescent="0.45">
      <c r="A2065" t="s">
        <v>2067</v>
      </c>
      <c r="B2065">
        <v>33.967696500000002</v>
      </c>
      <c r="C2065">
        <v>-118.2305961</v>
      </c>
      <c r="D2065" t="s">
        <v>5</v>
      </c>
    </row>
    <row r="2066" spans="1:4" x14ac:dyDescent="0.45">
      <c r="A2066" t="s">
        <v>2068</v>
      </c>
      <c r="B2066">
        <v>33.974504899999999</v>
      </c>
      <c r="C2066">
        <v>-118.23760919999999</v>
      </c>
      <c r="D2066" t="s">
        <v>5</v>
      </c>
    </row>
    <row r="2067" spans="1:4" x14ac:dyDescent="0.45">
      <c r="A2067" t="s">
        <v>2069</v>
      </c>
      <c r="B2067">
        <v>33.989932099999997</v>
      </c>
      <c r="C2067">
        <v>-118.2273572</v>
      </c>
      <c r="D2067" t="str">
        <f>HYPERLINK("https://streetviewpixels-pa.googleapis.com/v1/thumbnail?panoid=9QD07rLynB3eidqG6CmN9Q&amp;cb_client=search.gws-prod.gps&amp;w=408&amp;h=240&amp;yaw=183.69955&amp;pitch=0&amp;thumbfov=100", "link")</f>
        <v>link</v>
      </c>
    </row>
    <row r="2068" spans="1:4" x14ac:dyDescent="0.45">
      <c r="A2068" t="s">
        <v>2070</v>
      </c>
      <c r="B2068">
        <v>33.988954300000003</v>
      </c>
      <c r="C2068">
        <v>-118.2324792</v>
      </c>
      <c r="D2068" t="s">
        <v>5</v>
      </c>
    </row>
    <row r="2069" spans="1:4" x14ac:dyDescent="0.45">
      <c r="A2069" t="s">
        <v>2071</v>
      </c>
      <c r="B2069">
        <v>33.973841200000003</v>
      </c>
      <c r="C2069">
        <v>-118.243042</v>
      </c>
      <c r="D2069" t="str">
        <f>HYPERLINK("https://lh5.googleusercontent.com/p/AF1QipOVKrGiEiHBRViRVIy6zyI8jKmQCZyW9TqkNvAl=w426-h240-k-no", "link")</f>
        <v>link</v>
      </c>
    </row>
    <row r="2070" spans="1:4" x14ac:dyDescent="0.45">
      <c r="A2070" t="s">
        <v>2072</v>
      </c>
      <c r="B2070">
        <v>33.989194300000001</v>
      </c>
      <c r="C2070">
        <v>-118.2138674</v>
      </c>
      <c r="D2070" t="str">
        <f>HYPERLINK("https://streetviewpixels-pa.googleapis.com/v1/thumbnail?panoid=nuKSwrYnf4rlfeiAmwnyAQ&amp;cb_client=search.gws-prod.gps&amp;w=408&amp;h=240&amp;yaw=269.76663&amp;pitch=0&amp;thumbfov=100", "link")</f>
        <v>link</v>
      </c>
    </row>
    <row r="2071" spans="1:4" x14ac:dyDescent="0.45">
      <c r="A2071" t="s">
        <v>2073</v>
      </c>
      <c r="B2071">
        <v>33.988117500000001</v>
      </c>
      <c r="C2071">
        <v>-118.2397727</v>
      </c>
      <c r="D2071" t="s">
        <v>5</v>
      </c>
    </row>
    <row r="2072" spans="1:4" x14ac:dyDescent="0.45">
      <c r="A2072" t="s">
        <v>2074</v>
      </c>
      <c r="B2072">
        <v>33.987584099999999</v>
      </c>
      <c r="C2072">
        <v>-118.2414697</v>
      </c>
      <c r="D2072" t="s">
        <v>5</v>
      </c>
    </row>
    <row r="2073" spans="1:4" x14ac:dyDescent="0.45">
      <c r="A2073" t="s">
        <v>2075</v>
      </c>
      <c r="B2073">
        <v>33.989731900000002</v>
      </c>
      <c r="C2073">
        <v>-118.2472453</v>
      </c>
      <c r="D2073" t="str">
        <f>HYPERLINK("https://streetviewpixels-pa.googleapis.com/v1/thumbnail?panoid=4RdeNfSTzcPs6ZJ2i9Q2TA&amp;cb_client=search.gws-prod.gps&amp;w=408&amp;h=240&amp;yaw=19.185888&amp;pitch=0&amp;thumbfov=100", "link")</f>
        <v>link</v>
      </c>
    </row>
    <row r="2074" spans="1:4" x14ac:dyDescent="0.45">
      <c r="A2074" t="s">
        <v>2076</v>
      </c>
      <c r="B2074">
        <v>34.002615400000003</v>
      </c>
      <c r="C2074">
        <v>-118.25612409999999</v>
      </c>
      <c r="D2074" t="str">
        <f>HYPERLINK("https://streetviewpixels-pa.googleapis.com/v1/thumbnail?panoid=a42XGoH0s-VtPDnubh4zEg&amp;cb_client=search.gws-prod.gps&amp;w=408&amp;h=240&amp;yaw=94.426384&amp;pitch=0&amp;thumbfov=100", "link")</f>
        <v>link</v>
      </c>
    </row>
    <row r="2075" spans="1:4" x14ac:dyDescent="0.45">
      <c r="A2075" t="s">
        <v>2077</v>
      </c>
      <c r="B2075">
        <v>33.992818399999997</v>
      </c>
      <c r="C2075">
        <v>-118.2656357</v>
      </c>
      <c r="D2075" t="s">
        <v>5</v>
      </c>
    </row>
    <row r="2076" spans="1:4" x14ac:dyDescent="0.45">
      <c r="A2076" t="s">
        <v>2078</v>
      </c>
      <c r="B2076">
        <v>33.958222900000003</v>
      </c>
      <c r="C2076">
        <v>-118.3741806</v>
      </c>
      <c r="D2076" t="str">
        <f>HYPERLINK("https://streetviewpixels-pa.googleapis.com/v1/thumbnail?panoid=jTQFhxUMBs33yupDeVH7Ng&amp;cb_client=search.gws-prod.gps&amp;w=408&amp;h=240&amp;yaw=267.20615&amp;pitch=0&amp;thumbfov=100", "link")</f>
        <v>link</v>
      </c>
    </row>
    <row r="2077" spans="1:4" x14ac:dyDescent="0.45">
      <c r="A2077" t="s">
        <v>2079</v>
      </c>
      <c r="B2077">
        <v>33.956020199999998</v>
      </c>
      <c r="C2077">
        <v>-118.33794930000001</v>
      </c>
      <c r="D2077" t="str">
        <f>HYPERLINK("https://lh5.googleusercontent.com/p/AF1QipMhqH6tFZ1tTUTufiRMMfadj73svcx8k1gYt-Qm=w408-h240-k-no-pi-0-ya96.39998-ro-0-fo100", "link")</f>
        <v>link</v>
      </c>
    </row>
    <row r="2078" spans="1:4" x14ac:dyDescent="0.45">
      <c r="A2078" t="s">
        <v>2080</v>
      </c>
      <c r="B2078">
        <v>33.960051999999997</v>
      </c>
      <c r="C2078">
        <v>-118.3757651</v>
      </c>
      <c r="D2078" t="str">
        <f>HYPERLINK("https://streetviewpixels-pa.googleapis.com/v1/thumbnail?panoid=NIWpiCmtvjK9Ta4pqMiOyw&amp;cb_client=search.gws-prod.gps&amp;w=408&amp;h=240&amp;yaw=23.789526&amp;pitch=0&amp;thumbfov=100", "link")</f>
        <v>link</v>
      </c>
    </row>
    <row r="2079" spans="1:4" x14ac:dyDescent="0.45">
      <c r="A2079" t="s">
        <v>2081</v>
      </c>
      <c r="B2079">
        <v>33.960061600000003</v>
      </c>
      <c r="C2079">
        <v>-118.3760348</v>
      </c>
      <c r="D2079" t="str">
        <f>HYPERLINK("https://streetviewpixels-pa.googleapis.com/v1/thumbnail?panoid=NIWpiCmtvjK9Ta4pqMiOyw&amp;cb_client=search.gws-prod.gps&amp;w=408&amp;h=240&amp;yaw=23.789526&amp;pitch=0&amp;thumbfov=100", "link")</f>
        <v>link</v>
      </c>
    </row>
    <row r="2080" spans="1:4" x14ac:dyDescent="0.45">
      <c r="A2080" t="s">
        <v>2082</v>
      </c>
      <c r="B2080">
        <v>33.9519953</v>
      </c>
      <c r="C2080">
        <v>-118.3348714</v>
      </c>
      <c r="D2080" t="s">
        <v>5</v>
      </c>
    </row>
    <row r="2081" spans="1:4" x14ac:dyDescent="0.45">
      <c r="A2081" t="s">
        <v>2083</v>
      </c>
      <c r="B2081">
        <v>33.9647638</v>
      </c>
      <c r="C2081">
        <v>-118.35558709999999</v>
      </c>
      <c r="D2081" t="str">
        <f>HYPERLINK("https://streetviewpixels-pa.googleapis.com/v1/thumbnail?panoid=xZDFjiUdHNFBUaAgrhJMQw&amp;cb_client=search.gws-prod.gps&amp;w=408&amp;h=240&amp;yaw=291.0935&amp;pitch=0&amp;thumbfov=100", "link")</f>
        <v>link</v>
      </c>
    </row>
    <row r="2082" spans="1:4" x14ac:dyDescent="0.45">
      <c r="A2082" t="s">
        <v>2084</v>
      </c>
      <c r="B2082">
        <v>33.964763900000001</v>
      </c>
      <c r="C2082">
        <v>-118.35523480000001</v>
      </c>
      <c r="D2082" t="str">
        <f>HYPERLINK("https://streetviewpixels-pa.googleapis.com/v1/thumbnail?panoid=xZDFjiUdHNFBUaAgrhJMQw&amp;cb_client=search.gws-prod.gps&amp;w=408&amp;h=240&amp;yaw=291.0935&amp;pitch=0&amp;thumbfov=100", "link")</f>
        <v>link</v>
      </c>
    </row>
    <row r="2083" spans="1:4" x14ac:dyDescent="0.45">
      <c r="A2083" t="s">
        <v>2085</v>
      </c>
      <c r="B2083">
        <v>33.962223999999999</v>
      </c>
      <c r="C2083">
        <v>-118.3543188</v>
      </c>
      <c r="D2083" t="str">
        <f>HYPERLINK("https://streetviewpixels-pa.googleapis.com/v1/thumbnail?panoid=gfTt6xpke4hy3le5MDKuRw&amp;cb_client=search.gws-prod.gps&amp;w=408&amp;h=240&amp;yaw=248.86018&amp;pitch=0&amp;thumbfov=100", "link")</f>
        <v>link</v>
      </c>
    </row>
    <row r="2084" spans="1:4" x14ac:dyDescent="0.45">
      <c r="A2084" t="s">
        <v>2086</v>
      </c>
      <c r="B2084">
        <v>33.962325700000001</v>
      </c>
      <c r="C2084">
        <v>-118.3518976</v>
      </c>
      <c r="D2084" t="str">
        <f>HYPERLINK("https://streetviewpixels-pa.googleapis.com/v1/thumbnail?panoid=PcnnwJ3CoqGe_KiCYjLWJA&amp;cb_client=search.gws-prod.gps&amp;w=408&amp;h=240&amp;yaw=102.59269&amp;pitch=0&amp;thumbfov=100", "link")</f>
        <v>link</v>
      </c>
    </row>
    <row r="2085" spans="1:4" x14ac:dyDescent="0.45">
      <c r="A2085" t="s">
        <v>2087</v>
      </c>
      <c r="B2085">
        <v>33.962281599999997</v>
      </c>
      <c r="C2085">
        <v>-118.35096950000001</v>
      </c>
      <c r="D2085" t="str">
        <f>HYPERLINK("https://streetviewpixels-pa.googleapis.com/v1/thumbnail?panoid=oJoijTBNIQpX709N-bxr2w&amp;cb_client=search.gws-prod.gps&amp;w=408&amp;h=240&amp;yaw=106.92579&amp;pitch=0&amp;thumbfov=100", "link")</f>
        <v>link</v>
      </c>
    </row>
    <row r="2086" spans="1:4" x14ac:dyDescent="0.45">
      <c r="A2086" t="s">
        <v>2088</v>
      </c>
      <c r="B2086">
        <v>33.960661799999997</v>
      </c>
      <c r="C2086">
        <v>-118.35290639999999</v>
      </c>
      <c r="D2086" t="str">
        <f>HYPERLINK("https://streetviewpixels-pa.googleapis.com/v1/thumbnail?panoid=N7uGoywt5uucIVikOpxVlA&amp;cb_client=search.gws-prod.gps&amp;w=408&amp;h=240&amp;yaw=57.53408&amp;pitch=0&amp;thumbfov=100", "link")</f>
        <v>link</v>
      </c>
    </row>
    <row r="2087" spans="1:4" x14ac:dyDescent="0.45">
      <c r="A2087" t="s">
        <v>2089</v>
      </c>
      <c r="B2087">
        <v>33.9688856</v>
      </c>
      <c r="C2087">
        <v>-118.3583213</v>
      </c>
      <c r="D2087" t="str">
        <f>HYPERLINK("https://streetviewpixels-pa.googleapis.com/v1/thumbnail?panoid=l8vDgF8Yi83pNrCZoxbfIQ&amp;cb_client=search.gws-prod.gps&amp;w=408&amp;h=240&amp;yaw=300.12363&amp;pitch=0&amp;thumbfov=100", "link")</f>
        <v>link</v>
      </c>
    </row>
    <row r="2088" spans="1:4" x14ac:dyDescent="0.45">
      <c r="A2088" t="s">
        <v>2090</v>
      </c>
      <c r="B2088">
        <v>33.962458599999998</v>
      </c>
      <c r="C2088">
        <v>-118.3505329</v>
      </c>
      <c r="D2088" t="str">
        <f>HYPERLINK("https://lh5.googleusercontent.com/p/AF1QipNmy5eaf_Jwu1Q3dxuuvtPqLZZrq18SuAxsbkt5=w426-h240-k-no", "link")</f>
        <v>link</v>
      </c>
    </row>
    <row r="2089" spans="1:4" x14ac:dyDescent="0.45">
      <c r="A2089" t="s">
        <v>2091</v>
      </c>
      <c r="B2089">
        <v>33.9606724</v>
      </c>
      <c r="C2089">
        <v>-118.35126270000001</v>
      </c>
      <c r="D2089" t="s">
        <v>5</v>
      </c>
    </row>
    <row r="2090" spans="1:4" x14ac:dyDescent="0.45">
      <c r="A2090" t="s">
        <v>2092</v>
      </c>
      <c r="B2090">
        <v>33.968752100000003</v>
      </c>
      <c r="C2090">
        <v>-118.34729059999999</v>
      </c>
      <c r="D2090" t="s">
        <v>5</v>
      </c>
    </row>
    <row r="2091" spans="1:4" x14ac:dyDescent="0.45">
      <c r="A2091" t="s">
        <v>2093</v>
      </c>
      <c r="B2091">
        <v>33.960027699999998</v>
      </c>
      <c r="C2091">
        <v>-118.34423150000001</v>
      </c>
      <c r="D2091" t="str">
        <f>HYPERLINK("https://streetviewpixels-pa.googleapis.com/v1/thumbnail?panoid=yU5ldZErMWAOXDiSzCQ0cg&amp;cb_client=search.gws-prod.gps&amp;w=408&amp;h=240&amp;yaw=258.9537&amp;pitch=0&amp;thumbfov=100", "link")</f>
        <v>link</v>
      </c>
    </row>
    <row r="2092" spans="1:4" x14ac:dyDescent="0.45">
      <c r="A2092" t="s">
        <v>2094</v>
      </c>
      <c r="B2092">
        <v>33.9582227</v>
      </c>
      <c r="C2092">
        <v>-118.3418389</v>
      </c>
      <c r="D2092" t="s">
        <v>5</v>
      </c>
    </row>
    <row r="2093" spans="1:4" x14ac:dyDescent="0.45">
      <c r="A2093" t="s">
        <v>2095</v>
      </c>
      <c r="B2093">
        <v>33.9563044</v>
      </c>
      <c r="C2093">
        <v>-118.3416387</v>
      </c>
      <c r="D2093" t="str">
        <f>HYPERLINK("https://lh5.googleusercontent.com/p/AF1QipMqY6cBmVcv41hp4yuBc-ZvnZvFsSvOMI0oojyc=w408-h725-k-no", "link")</f>
        <v>link</v>
      </c>
    </row>
    <row r="2094" spans="1:4" x14ac:dyDescent="0.45">
      <c r="A2094" t="s">
        <v>2096</v>
      </c>
      <c r="B2094">
        <v>33.958983199999999</v>
      </c>
      <c r="C2094">
        <v>-118.37147849999999</v>
      </c>
      <c r="D2094" t="str">
        <f>HYPERLINK("https://streetviewpixels-pa.googleapis.com/v1/thumbnail?panoid=PFLVIi9qSXLRvl5RPrFewg&amp;cb_client=search.gws-prod.gps&amp;w=408&amp;h=240&amp;yaw=50.805496&amp;pitch=0&amp;thumbfov=100", "link")</f>
        <v>link</v>
      </c>
    </row>
    <row r="2095" spans="1:4" x14ac:dyDescent="0.45">
      <c r="A2095" t="s">
        <v>2097</v>
      </c>
      <c r="B2095">
        <v>33.955660799999997</v>
      </c>
      <c r="C2095">
        <v>-118.3407158</v>
      </c>
      <c r="D2095" t="s">
        <v>5</v>
      </c>
    </row>
    <row r="2096" spans="1:4" x14ac:dyDescent="0.45">
      <c r="A2096" t="s">
        <v>2098</v>
      </c>
      <c r="B2096">
        <v>33.960373400000002</v>
      </c>
      <c r="C2096">
        <v>-118.3796305</v>
      </c>
      <c r="D2096" t="s">
        <v>5</v>
      </c>
    </row>
    <row r="2097" spans="1:4" x14ac:dyDescent="0.45">
      <c r="A2097" t="s">
        <v>2099</v>
      </c>
      <c r="B2097">
        <v>33.956479700000003</v>
      </c>
      <c r="C2097">
        <v>-118.3777869</v>
      </c>
      <c r="D2097" t="s">
        <v>5</v>
      </c>
    </row>
    <row r="2098" spans="1:4" x14ac:dyDescent="0.45">
      <c r="A2098" t="s">
        <v>2100</v>
      </c>
      <c r="B2098">
        <v>33.954467399999999</v>
      </c>
      <c r="C2098">
        <v>-118.38024179999999</v>
      </c>
      <c r="D2098" t="str">
        <f>HYPERLINK("https://streetviewpixels-pa.googleapis.com/v1/thumbnail?panoid=ZgAtKSxE8kW9T66QiFooAQ&amp;cb_client=search.gws-prod.gps&amp;w=408&amp;h=240&amp;yaw=75.33737&amp;pitch=0&amp;thumbfov=100", "link")</f>
        <v>link</v>
      </c>
    </row>
    <row r="2099" spans="1:4" x14ac:dyDescent="0.45">
      <c r="A2099" t="s">
        <v>2101</v>
      </c>
      <c r="B2099">
        <v>33.953250500000003</v>
      </c>
      <c r="C2099">
        <v>-118.3748906</v>
      </c>
      <c r="D2099" t="str">
        <f>HYPERLINK("https://lh5.googleusercontent.com/p/AF1QipNP1afXkG9pDO3HVeHjPtOgxAaowRdW0rJ8Mt4L=w408-h306-k-no", "link")</f>
        <v>link</v>
      </c>
    </row>
    <row r="2100" spans="1:4" x14ac:dyDescent="0.45">
      <c r="A2100" t="s">
        <v>2102</v>
      </c>
      <c r="B2100">
        <v>33.953198999999998</v>
      </c>
      <c r="C2100">
        <v>-118.374889</v>
      </c>
      <c r="D2100" t="str">
        <f>HYPERLINK("https://streetviewpixels-pa.googleapis.com/v1/thumbnail?panoid=0wxGvCZk5IuBZtTtF7U0LQ&amp;cb_client=search.gws-prod.gps&amp;w=408&amp;h=240&amp;yaw=124.94056&amp;pitch=0&amp;thumbfov=100", "link")</f>
        <v>link</v>
      </c>
    </row>
    <row r="2101" spans="1:4" x14ac:dyDescent="0.45">
      <c r="A2101" t="s">
        <v>2103</v>
      </c>
      <c r="B2101">
        <v>33.955570999999999</v>
      </c>
      <c r="C2101">
        <v>-118.3851592</v>
      </c>
      <c r="D2101" t="str">
        <f>HYPERLINK("https://streetviewpixels-pa.googleapis.com/v1/thumbnail?panoid=lVqJVmTRe4qFrebToYfW9w&amp;cb_client=search.gws-prod.gps&amp;w=408&amp;h=240&amp;yaw=115.572784&amp;pitch=0&amp;thumbfov=100", "link")</f>
        <v>link</v>
      </c>
    </row>
    <row r="2102" spans="1:4" x14ac:dyDescent="0.45">
      <c r="A2102" t="s">
        <v>2104</v>
      </c>
      <c r="B2102">
        <v>33.9542042</v>
      </c>
      <c r="C2102">
        <v>-118.38431</v>
      </c>
      <c r="D2102" t="s">
        <v>5</v>
      </c>
    </row>
    <row r="2103" spans="1:4" x14ac:dyDescent="0.45">
      <c r="A2103" t="s">
        <v>2105</v>
      </c>
      <c r="B2103">
        <v>33.954338700000001</v>
      </c>
      <c r="C2103">
        <v>-118.3875773</v>
      </c>
      <c r="D2103" t="str">
        <f>HYPERLINK("https://lh5.googleusercontent.com/p/AF1QipN96X4T1qkWDLCuuLCaEnjOvEbvRXR6wByikclm=w408-h544-k-no", "link")</f>
        <v>link</v>
      </c>
    </row>
    <row r="2104" spans="1:4" x14ac:dyDescent="0.45">
      <c r="A2104" t="s">
        <v>2106</v>
      </c>
      <c r="B2104">
        <v>33.949198500000001</v>
      </c>
      <c r="C2104">
        <v>-118.3803209</v>
      </c>
      <c r="D2104" t="s">
        <v>5</v>
      </c>
    </row>
    <row r="2105" spans="1:4" x14ac:dyDescent="0.45">
      <c r="A2105" t="s">
        <v>2107</v>
      </c>
      <c r="B2105">
        <v>33.948433899999998</v>
      </c>
      <c r="C2105">
        <v>-118.3792524</v>
      </c>
      <c r="D2105" t="str">
        <f>HYPERLINK("https://streetviewpixels-pa.googleapis.com/v1/thumbnail?panoid=M5o9-RHINVRAkum7aUTd1Q&amp;cb_client=search.gws-prod.gps&amp;w=408&amp;h=240&amp;yaw=70.09812&amp;pitch=0&amp;thumbfov=100", "link")</f>
        <v>link</v>
      </c>
    </row>
    <row r="2106" spans="1:4" x14ac:dyDescent="0.45">
      <c r="A2106" t="s">
        <v>2108</v>
      </c>
      <c r="B2106">
        <v>33.948451599999999</v>
      </c>
      <c r="C2106">
        <v>-118.3796803</v>
      </c>
      <c r="D2106" t="str">
        <f>HYPERLINK("https://streetviewpixels-pa.googleapis.com/v1/thumbnail?panoid=ar_DpYAGqFqoXTHMJiKEDw&amp;cb_client=search.gws-prod.gps&amp;w=408&amp;h=240&amp;yaw=26.573505&amp;pitch=0&amp;thumbfov=100", "link")</f>
        <v>link</v>
      </c>
    </row>
    <row r="2107" spans="1:4" x14ac:dyDescent="0.45">
      <c r="A2107" t="s">
        <v>2109</v>
      </c>
      <c r="B2107">
        <v>33.9475731</v>
      </c>
      <c r="C2107">
        <v>-118.3826698</v>
      </c>
      <c r="D2107" t="str">
        <f>HYPERLINK("https://streetviewpixels-pa.googleapis.com/v1/thumbnail?panoid=47N6Y7K8dML7FVLCC7dJfg&amp;cb_client=search.gws-prod.gps&amp;w=408&amp;h=240&amp;yaw=21.540161&amp;pitch=0&amp;thumbfov=100", "link")</f>
        <v>link</v>
      </c>
    </row>
    <row r="2108" spans="1:4" x14ac:dyDescent="0.45">
      <c r="A2108" t="s">
        <v>2110</v>
      </c>
      <c r="B2108">
        <v>33.9536953</v>
      </c>
      <c r="C2108">
        <v>-118.39121470000001</v>
      </c>
      <c r="D2108" t="str">
        <f>HYPERLINK("https://streetviewpixels-pa.googleapis.com/v1/thumbnail?panoid=xHU0rHadNRZFnGQsA2JOwg&amp;cb_client=search.gws-prod.gps&amp;w=408&amp;h=240&amp;yaw=98.16091&amp;pitch=0&amp;thumbfov=100", "link")</f>
        <v>link</v>
      </c>
    </row>
    <row r="2109" spans="1:4" x14ac:dyDescent="0.45">
      <c r="A2109" t="s">
        <v>2111</v>
      </c>
      <c r="B2109">
        <v>33.948098700000003</v>
      </c>
      <c r="C2109">
        <v>-118.3854269</v>
      </c>
      <c r="D2109" t="str">
        <f>HYPERLINK("https://streetviewpixels-pa.googleapis.com/v1/thumbnail?panoid=57buiWpEThfBNxSfx4wwJQ&amp;cb_client=search.gws-prod.gps&amp;w=408&amp;h=240&amp;yaw=110.77205&amp;pitch=0&amp;thumbfov=100", "link")</f>
        <v>link</v>
      </c>
    </row>
    <row r="2110" spans="1:4" x14ac:dyDescent="0.45">
      <c r="A2110" t="s">
        <v>2112</v>
      </c>
      <c r="B2110">
        <v>33.953756300000002</v>
      </c>
      <c r="C2110">
        <v>-118.3916925</v>
      </c>
      <c r="D2110" t="str">
        <f>HYPERLINK("https://streetviewpixels-pa.googleapis.com/v1/thumbnail?panoid=xHU0rHadNRZFnGQsA2JOwg&amp;cb_client=search.gws-prod.gps&amp;w=408&amp;h=240&amp;yaw=283.3967&amp;pitch=0&amp;thumbfov=100", "link")</f>
        <v>link</v>
      </c>
    </row>
    <row r="2111" spans="1:4" x14ac:dyDescent="0.45">
      <c r="A2111" t="s">
        <v>2113</v>
      </c>
      <c r="B2111">
        <v>33.946404200000003</v>
      </c>
      <c r="C2111">
        <v>-118.3844515</v>
      </c>
      <c r="D2111" t="str">
        <f>HYPERLINK("https://lh5.googleusercontent.com/p/AF1QipMpAB1lTcmf7q-mgi_tfuPE9uvMVmrjAedPOgSk=w507-h240-k-no", "link")</f>
        <v>link</v>
      </c>
    </row>
    <row r="2112" spans="1:4" x14ac:dyDescent="0.45">
      <c r="A2112" t="s">
        <v>2114</v>
      </c>
      <c r="B2112">
        <v>33.947657300000003</v>
      </c>
      <c r="C2112">
        <v>-118.3863231</v>
      </c>
      <c r="D2112" t="s">
        <v>5</v>
      </c>
    </row>
    <row r="2113" spans="1:4" x14ac:dyDescent="0.45">
      <c r="A2113" t="s">
        <v>2115</v>
      </c>
      <c r="B2113">
        <v>33.9483617</v>
      </c>
      <c r="C2113">
        <v>-118.3903856</v>
      </c>
      <c r="D2113" t="s">
        <v>5</v>
      </c>
    </row>
    <row r="2114" spans="1:4" x14ac:dyDescent="0.45">
      <c r="A2114" t="s">
        <v>2116</v>
      </c>
      <c r="B2114">
        <v>33.952554900000003</v>
      </c>
      <c r="C2114">
        <v>-118.3926522</v>
      </c>
      <c r="D2114" t="str">
        <f>HYPERLINK("https://lh5.googleusercontent.com/p/AF1QipNURkdmC-zBG8Kn3nGo6UHDnTid61QIQAfUX3p2=w408-h725-k-no", "link")</f>
        <v>link</v>
      </c>
    </row>
    <row r="2115" spans="1:4" x14ac:dyDescent="0.45">
      <c r="A2115" t="s">
        <v>2117</v>
      </c>
      <c r="B2115">
        <v>33.950786899999997</v>
      </c>
      <c r="C2115">
        <v>-118.39221139999999</v>
      </c>
      <c r="D2115" t="str">
        <f>HYPERLINK("https://lh5.googleusercontent.com/p/AF1QipNXUPti16rek8WGHnepLeyUQEO5LxKZOHbiAwr2=w426-h240-k-no", "link")</f>
        <v>link</v>
      </c>
    </row>
    <row r="2116" spans="1:4" x14ac:dyDescent="0.45">
      <c r="A2116" t="s">
        <v>2118</v>
      </c>
      <c r="B2116">
        <v>33.960114400000002</v>
      </c>
      <c r="C2116">
        <v>-118.395726</v>
      </c>
      <c r="D2116" t="str">
        <f>HYPERLINK("https://streetviewpixels-pa.googleapis.com/v1/thumbnail?panoid=9ez4BT8G27Dr1a_NwijXnw&amp;cb_client=search.gws-prod.gps&amp;w=408&amp;h=240&amp;yaw=103.64541&amp;pitch=0&amp;thumbfov=100", "link")</f>
        <v>link</v>
      </c>
    </row>
    <row r="2117" spans="1:4" x14ac:dyDescent="0.45">
      <c r="A2117" t="s">
        <v>2119</v>
      </c>
      <c r="B2117">
        <v>33.9594551</v>
      </c>
      <c r="C2117">
        <v>-118.3957465</v>
      </c>
      <c r="D2117" t="str">
        <f>HYPERLINK("https://streetviewpixels-pa.googleapis.com/v1/thumbnail?panoid=RCaqVSLHO59UDvMlipwLxw&amp;cb_client=search.gws-prod.gps&amp;w=408&amp;h=240&amp;yaw=86.75666&amp;pitch=0&amp;thumbfov=100", "link")</f>
        <v>link</v>
      </c>
    </row>
    <row r="2118" spans="1:4" x14ac:dyDescent="0.45">
      <c r="A2118" t="s">
        <v>2120</v>
      </c>
      <c r="B2118">
        <v>33.943452599999901</v>
      </c>
      <c r="C2118">
        <v>-118.3318493</v>
      </c>
      <c r="D2118" t="str">
        <f>HYPERLINK("https://streetviewpixels-pa.googleapis.com/v1/thumbnail?panoid=Oq_QtbiLwSY1HA3LD58wSg&amp;cb_client=search.gws-prod.gps&amp;w=408&amp;h=240&amp;yaw=114.93553&amp;pitch=0&amp;thumbfov=100", "link")</f>
        <v>link</v>
      </c>
    </row>
    <row r="2119" spans="1:4" x14ac:dyDescent="0.45">
      <c r="A2119" t="s">
        <v>2121</v>
      </c>
      <c r="B2119">
        <v>33.956028099999997</v>
      </c>
      <c r="C2119">
        <v>-118.3365565</v>
      </c>
      <c r="D2119" t="s">
        <v>5</v>
      </c>
    </row>
    <row r="2120" spans="1:4" x14ac:dyDescent="0.45">
      <c r="A2120" t="s">
        <v>2122</v>
      </c>
      <c r="B2120">
        <v>33.950795800000002</v>
      </c>
      <c r="C2120">
        <v>-118.3325866</v>
      </c>
      <c r="D2120" t="str">
        <f>HYPERLINK("https://lh5.googleusercontent.com/p/AF1QipPS8u9g_ogRzxrudhYELOKjgrevsUp891maWxW2=w408-h544-k-no", "link")</f>
        <v>link</v>
      </c>
    </row>
    <row r="2121" spans="1:4" x14ac:dyDescent="0.45">
      <c r="A2121" t="s">
        <v>2123</v>
      </c>
      <c r="B2121">
        <v>34.164474499999997</v>
      </c>
      <c r="C2121">
        <v>-118.2334377</v>
      </c>
      <c r="D2121" t="s">
        <v>5</v>
      </c>
    </row>
    <row r="2122" spans="1:4" x14ac:dyDescent="0.45">
      <c r="A2122" t="s">
        <v>2124</v>
      </c>
      <c r="B2122">
        <v>34.230208300000001</v>
      </c>
      <c r="C2122">
        <v>-118.26566769999999</v>
      </c>
      <c r="D2122" t="s">
        <v>5</v>
      </c>
    </row>
    <row r="2123" spans="1:4" x14ac:dyDescent="0.45">
      <c r="A2123" t="s">
        <v>2125</v>
      </c>
      <c r="B2123">
        <v>34.230314900000003</v>
      </c>
      <c r="C2123">
        <v>-118.26582689999999</v>
      </c>
      <c r="D2123" t="s">
        <v>5</v>
      </c>
    </row>
    <row r="2124" spans="1:4" x14ac:dyDescent="0.45">
      <c r="A2124" t="s">
        <v>2126</v>
      </c>
      <c r="B2124">
        <v>34.151146099999998</v>
      </c>
      <c r="C2124">
        <v>-118.2319778</v>
      </c>
      <c r="D2124" t="str">
        <f>HYPERLINK("https://streetviewpixels-pa.googleapis.com/v1/thumbnail?panoid=A50WnwQkmkADRScsd3BsrA&amp;cb_client=search.gws-prod.gps&amp;w=408&amp;h=240&amp;yaw=105.02874&amp;pitch=0&amp;thumbfov=100", "link")</f>
        <v>link</v>
      </c>
    </row>
    <row r="2125" spans="1:4" x14ac:dyDescent="0.45">
      <c r="A2125" t="s">
        <v>2127</v>
      </c>
      <c r="B2125">
        <v>34.206645399999999</v>
      </c>
      <c r="C2125">
        <v>-118.2250849</v>
      </c>
      <c r="D2125" t="str">
        <f>HYPERLINK("https://streetviewpixels-pa.googleapis.com/v1/thumbnail?panoid=cHycDHkj7r3bIyWVCpRwBQ&amp;cb_client=search.gws-prod.gps&amp;w=408&amp;h=240&amp;yaw=315.71542&amp;pitch=0&amp;thumbfov=100", "link")</f>
        <v>link</v>
      </c>
    </row>
    <row r="2126" spans="1:4" x14ac:dyDescent="0.45">
      <c r="A2126" t="s">
        <v>2128</v>
      </c>
      <c r="B2126">
        <v>34.206747800000002</v>
      </c>
      <c r="C2126">
        <v>-118.2252276</v>
      </c>
      <c r="D2126" t="str">
        <f>HYPERLINK("https://streetviewpixels-pa.googleapis.com/v1/thumbnail?panoid=cHycDHkj7r3bIyWVCpRwBQ&amp;cb_client=search.gws-prod.gps&amp;w=408&amp;h=240&amp;yaw=315.71542&amp;pitch=0&amp;thumbfov=100", "link")</f>
        <v>link</v>
      </c>
    </row>
    <row r="2127" spans="1:4" x14ac:dyDescent="0.45">
      <c r="A2127" t="s">
        <v>2129</v>
      </c>
      <c r="B2127">
        <v>34.206174900000001</v>
      </c>
      <c r="C2127">
        <v>-118.2268112</v>
      </c>
      <c r="D2127" t="str">
        <f>HYPERLINK("https://streetviewpixels-pa.googleapis.com/v1/thumbnail?panoid=dTK8dzKPutUZEQdMNPecxQ&amp;cb_client=search.gws-prod.gps&amp;w=408&amp;h=240&amp;yaw=273.60376&amp;pitch=0&amp;thumbfov=100", "link")</f>
        <v>link</v>
      </c>
    </row>
    <row r="2128" spans="1:4" x14ac:dyDescent="0.45">
      <c r="A2128" t="s">
        <v>2130</v>
      </c>
      <c r="B2128">
        <v>34.216624799999998</v>
      </c>
      <c r="C2128">
        <v>-118.2419234</v>
      </c>
      <c r="D2128" t="str">
        <f>HYPERLINK("https://streetviewpixels-pa.googleapis.com/v1/thumbnail?panoid=DsexGADkoOYGvwgNWqzh_A&amp;cb_client=search.gws-prod.gps&amp;w=408&amp;h=240&amp;yaw=218.4827&amp;pitch=0&amp;thumbfov=100", "link")</f>
        <v>link</v>
      </c>
    </row>
    <row r="2129" spans="1:4" x14ac:dyDescent="0.45">
      <c r="A2129" t="s">
        <v>2131</v>
      </c>
      <c r="B2129">
        <v>34.171678800000002</v>
      </c>
      <c r="C2129">
        <v>-118.22872289999999</v>
      </c>
      <c r="D2129" t="s">
        <v>5</v>
      </c>
    </row>
    <row r="2130" spans="1:4" x14ac:dyDescent="0.45">
      <c r="A2130" t="s">
        <v>2132</v>
      </c>
      <c r="B2130">
        <v>34.170594700000002</v>
      </c>
      <c r="C2130">
        <v>-118.23082460000001</v>
      </c>
      <c r="D2130" t="s">
        <v>5</v>
      </c>
    </row>
    <row r="2131" spans="1:4" x14ac:dyDescent="0.45">
      <c r="A2131" t="s">
        <v>2133</v>
      </c>
      <c r="B2131">
        <v>34.169389199999998</v>
      </c>
      <c r="C2131">
        <v>-118.2300479</v>
      </c>
      <c r="D2131" t="s">
        <v>5</v>
      </c>
    </row>
    <row r="2132" spans="1:4" x14ac:dyDescent="0.45">
      <c r="A2132" t="s">
        <v>2134</v>
      </c>
      <c r="B2132">
        <v>34.168264000000001</v>
      </c>
      <c r="C2132">
        <v>-118.2299108</v>
      </c>
      <c r="D2132" t="s">
        <v>5</v>
      </c>
    </row>
    <row r="2133" spans="1:4" x14ac:dyDescent="0.45">
      <c r="A2133" t="s">
        <v>2135</v>
      </c>
      <c r="B2133">
        <v>34.168197399999897</v>
      </c>
      <c r="C2133">
        <v>-118.2299369</v>
      </c>
      <c r="D2133" t="s">
        <v>5</v>
      </c>
    </row>
    <row r="2134" spans="1:4" x14ac:dyDescent="0.45">
      <c r="A2134" t="s">
        <v>2136</v>
      </c>
      <c r="B2134">
        <v>34.165872399999998</v>
      </c>
      <c r="C2134">
        <v>-118.2268452</v>
      </c>
      <c r="D2134" t="str">
        <f>HYPERLINK("https://lh5.googleusercontent.com/p/AF1QipO3yBv7pTFnVloblQ3ckhRi13E4T-7i2AWVNllO=w408-h725-k-no", "link")</f>
        <v>link</v>
      </c>
    </row>
    <row r="2135" spans="1:4" x14ac:dyDescent="0.45">
      <c r="A2135" t="s">
        <v>2137</v>
      </c>
      <c r="B2135">
        <v>34.165784000000002</v>
      </c>
      <c r="C2135">
        <v>-118.2323217</v>
      </c>
      <c r="D2135" t="s">
        <v>5</v>
      </c>
    </row>
    <row r="2136" spans="1:4" x14ac:dyDescent="0.45">
      <c r="A2136" t="s">
        <v>2138</v>
      </c>
      <c r="B2136">
        <v>33.948606900000001</v>
      </c>
      <c r="C2136">
        <v>-118.00483920000001</v>
      </c>
      <c r="D2136" t="str">
        <f>HYPERLINK("https://streetviewpixels-pa.googleapis.com/v1/thumbnail?panoid=u3Bo4sEWcXtXU23qCnY8Sw&amp;cb_client=search.gws-prod.gps&amp;w=408&amp;h=240&amp;yaw=244.04185&amp;pitch=0&amp;thumbfov=100", "link")</f>
        <v>link</v>
      </c>
    </row>
    <row r="2137" spans="1:4" x14ac:dyDescent="0.45">
      <c r="A2137" t="s">
        <v>2139</v>
      </c>
      <c r="B2137">
        <v>33.949307599999997</v>
      </c>
      <c r="C2137">
        <v>-118.003787</v>
      </c>
      <c r="D2137" t="s">
        <v>5</v>
      </c>
    </row>
    <row r="2138" spans="1:4" x14ac:dyDescent="0.45">
      <c r="A2138" t="s">
        <v>2140</v>
      </c>
      <c r="B2138">
        <v>33.913856799999998</v>
      </c>
      <c r="C2138">
        <v>-117.9701493</v>
      </c>
      <c r="D2138" t="str">
        <f>HYPERLINK("https://streetviewpixels-pa.googleapis.com/v1/thumbnail?panoid=wrB_F1jHAFGt0QAdcH0dpA&amp;cb_client=search.gws-prod.gps&amp;w=408&amp;h=240&amp;yaw=134.90402&amp;pitch=0&amp;thumbfov=100", "link")</f>
        <v>link</v>
      </c>
    </row>
    <row r="2139" spans="1:4" x14ac:dyDescent="0.45">
      <c r="A2139" t="s">
        <v>2141</v>
      </c>
      <c r="B2139">
        <v>33.943187899999998</v>
      </c>
      <c r="C2139">
        <v>-117.97729699999999</v>
      </c>
      <c r="D2139" t="s">
        <v>5</v>
      </c>
    </row>
    <row r="2140" spans="1:4" x14ac:dyDescent="0.45">
      <c r="A2140" t="s">
        <v>2142</v>
      </c>
      <c r="B2140">
        <v>33.936986099999999</v>
      </c>
      <c r="C2140">
        <v>-118.04776409999999</v>
      </c>
      <c r="D2140" t="s">
        <v>5</v>
      </c>
    </row>
    <row r="2141" spans="1:4" x14ac:dyDescent="0.45">
      <c r="A2141" t="s">
        <v>2143</v>
      </c>
      <c r="B2141">
        <v>33.937502899999998</v>
      </c>
      <c r="C2141">
        <v>-118.047574</v>
      </c>
      <c r="D2141" t="str">
        <f>HYPERLINK("https://streetviewpixels-pa.googleapis.com/v1/thumbnail?panoid=3-YrfFOlLIAY6FihvmNgHQ&amp;cb_client=search.gws-prod.gps&amp;w=408&amp;h=240&amp;yaw=250.77896&amp;pitch=0&amp;thumbfov=100", "link")</f>
        <v>link</v>
      </c>
    </row>
    <row r="2142" spans="1:4" x14ac:dyDescent="0.45">
      <c r="A2142" t="s">
        <v>2144</v>
      </c>
      <c r="B2142">
        <v>33.916502800000004</v>
      </c>
      <c r="C2142">
        <v>-118.0593154</v>
      </c>
      <c r="D2142" t="s">
        <v>5</v>
      </c>
    </row>
    <row r="2143" spans="1:4" x14ac:dyDescent="0.45">
      <c r="A2143" t="s">
        <v>2145</v>
      </c>
      <c r="B2143">
        <v>33.9162903</v>
      </c>
      <c r="C2143">
        <v>-118.0608713</v>
      </c>
      <c r="D2143" t="s">
        <v>5</v>
      </c>
    </row>
    <row r="2144" spans="1:4" x14ac:dyDescent="0.45">
      <c r="A2144" t="s">
        <v>2146</v>
      </c>
      <c r="B2144">
        <v>33.9522616</v>
      </c>
      <c r="C2144">
        <v>-118.04257699999999</v>
      </c>
      <c r="D2144" t="s">
        <v>5</v>
      </c>
    </row>
    <row r="2145" spans="1:4" x14ac:dyDescent="0.45">
      <c r="A2145" t="s">
        <v>2147</v>
      </c>
      <c r="B2145">
        <v>33.953826100000001</v>
      </c>
      <c r="C2145">
        <v>-118.0440407</v>
      </c>
      <c r="D2145" t="s">
        <v>5</v>
      </c>
    </row>
    <row r="2146" spans="1:4" x14ac:dyDescent="0.45">
      <c r="A2146" t="s">
        <v>2148</v>
      </c>
      <c r="B2146">
        <v>33.919469900000003</v>
      </c>
      <c r="C2146">
        <v>-118.0095637</v>
      </c>
      <c r="D2146" t="str">
        <f>HYPERLINK("https://streetviewpixels-pa.googleapis.com/v1/thumbnail?panoid=MFY1oS0kjUae1L0ZJsNXiQ&amp;cb_client=search.gws-prod.gps&amp;w=408&amp;h=240&amp;yaw=12.149669&amp;pitch=0&amp;thumbfov=100", "link")</f>
        <v>link</v>
      </c>
    </row>
    <row r="2147" spans="1:4" x14ac:dyDescent="0.45">
      <c r="A2147" t="s">
        <v>2149</v>
      </c>
      <c r="B2147">
        <v>33.920308599999899</v>
      </c>
      <c r="C2147">
        <v>-118.0021686</v>
      </c>
      <c r="D2147" t="str">
        <f>HYPERLINK("https://streetviewpixels-pa.googleapis.com/v1/thumbnail?panoid=jRHdz7ypt4Weu6tbGe38IA&amp;cb_client=search.gws-prod.gps&amp;w=408&amp;h=240&amp;yaw=65.69489&amp;pitch=0&amp;thumbfov=100", "link")</f>
        <v>link</v>
      </c>
    </row>
    <row r="2148" spans="1:4" x14ac:dyDescent="0.45">
      <c r="A2148" t="s">
        <v>2150</v>
      </c>
      <c r="B2148">
        <v>33.922347899999998</v>
      </c>
      <c r="C2148">
        <v>-117.9464557</v>
      </c>
      <c r="D2148" t="s">
        <v>5</v>
      </c>
    </row>
    <row r="2149" spans="1:4" x14ac:dyDescent="0.45">
      <c r="A2149" t="s">
        <v>2151</v>
      </c>
      <c r="B2149">
        <v>33.845243400000001</v>
      </c>
      <c r="C2149">
        <v>-117.9959528</v>
      </c>
      <c r="D2149" t="str">
        <f>HYPERLINK("https://lh5.googleusercontent.com/p/AF1QipMkXe5eWGnb4ivxG2LobIlKP9PjMBb0JsoGTUY-=w426-h240-k-no", "link")</f>
        <v>link</v>
      </c>
    </row>
    <row r="2150" spans="1:4" x14ac:dyDescent="0.45">
      <c r="A2150" t="s">
        <v>2152</v>
      </c>
      <c r="B2150">
        <v>33.838518200000003</v>
      </c>
      <c r="C2150">
        <v>-118.0412049</v>
      </c>
      <c r="D2150" t="s">
        <v>5</v>
      </c>
    </row>
    <row r="2151" spans="1:4" x14ac:dyDescent="0.45">
      <c r="A2151" t="s">
        <v>2153</v>
      </c>
      <c r="B2151">
        <v>34.089163900000003</v>
      </c>
      <c r="C2151">
        <v>-117.7503483</v>
      </c>
      <c r="D2151" t="s">
        <v>5</v>
      </c>
    </row>
    <row r="2152" spans="1:4" x14ac:dyDescent="0.45">
      <c r="A2152" t="s">
        <v>2154</v>
      </c>
      <c r="B2152">
        <v>34.078150800000003</v>
      </c>
      <c r="C2152">
        <v>-117.7501477</v>
      </c>
      <c r="D2152" t="s">
        <v>5</v>
      </c>
    </row>
    <row r="2153" spans="1:4" x14ac:dyDescent="0.45">
      <c r="A2153" t="s">
        <v>2155</v>
      </c>
      <c r="B2153">
        <v>34.074985499999997</v>
      </c>
      <c r="C2153">
        <v>-117.7843704</v>
      </c>
      <c r="D2153" t="str">
        <f>HYPERLINK("https://lh5.googleusercontent.com/p/AF1QipNdeBwQLYMQa1cdQuyz7OLlKDZAzH4zNA0Sp-Gw=w408-h544-k-no", "link")</f>
        <v>link</v>
      </c>
    </row>
    <row r="2154" spans="1:4" x14ac:dyDescent="0.45">
      <c r="A2154" t="s">
        <v>2156</v>
      </c>
      <c r="B2154">
        <v>34.074323199999903</v>
      </c>
      <c r="C2154">
        <v>-117.7504933</v>
      </c>
      <c r="D2154" t="str">
        <f>HYPERLINK("https://streetviewpixels-pa.googleapis.com/v1/thumbnail?panoid=YUXjAV9fadyb8jfTIYr4OA&amp;cb_client=search.gws-prod.gps&amp;w=408&amp;h=240&amp;yaw=353.22314&amp;pitch=0&amp;thumbfov=100", "link")</f>
        <v>link</v>
      </c>
    </row>
    <row r="2155" spans="1:4" x14ac:dyDescent="0.45">
      <c r="A2155" t="s">
        <v>2157</v>
      </c>
      <c r="B2155">
        <v>34.0769199</v>
      </c>
      <c r="C2155">
        <v>-117.7472243</v>
      </c>
      <c r="D2155" t="s">
        <v>5</v>
      </c>
    </row>
    <row r="2156" spans="1:4" x14ac:dyDescent="0.45">
      <c r="A2156" t="s">
        <v>2158</v>
      </c>
      <c r="B2156">
        <v>34.0573598</v>
      </c>
      <c r="C2156">
        <v>-117.7617551</v>
      </c>
      <c r="D2156" t="str">
        <f>HYPERLINK("https://streetviewpixels-pa.googleapis.com/v1/thumbnail?panoid=UaAirON-13aoASIwYoCJXA&amp;cb_client=search.gws-prod.gps&amp;w=408&amp;h=240&amp;yaw=174.2429&amp;pitch=0&amp;thumbfov=100", "link")</f>
        <v>link</v>
      </c>
    </row>
    <row r="2157" spans="1:4" x14ac:dyDescent="0.45">
      <c r="A2157" t="s">
        <v>2159</v>
      </c>
      <c r="B2157">
        <v>34.059821999999997</v>
      </c>
      <c r="C2157">
        <v>-117.75150720000001</v>
      </c>
      <c r="D2157" t="str">
        <f>HYPERLINK("https://streetviewpixels-pa.googleapis.com/v1/thumbnail?panoid=PB9a1e1BRA5p8jWQANcz9A&amp;cb_client=search.gws-prod.gps&amp;w=408&amp;h=240&amp;yaw=316.0555&amp;pitch=0&amp;thumbfov=100", "link")</f>
        <v>link</v>
      </c>
    </row>
    <row r="2158" spans="1:4" x14ac:dyDescent="0.45">
      <c r="A2158" t="s">
        <v>2160</v>
      </c>
      <c r="B2158">
        <v>34.058671599999997</v>
      </c>
      <c r="C2158">
        <v>-117.7514374</v>
      </c>
      <c r="D2158" t="str">
        <f>HYPERLINK("https://lh5.googleusercontent.com/p/AF1QipOjRp9S8ccBHMzKz-dIMz_2pf_pKP-OpqIQfIB9=w408-h306-k-no", "link")</f>
        <v>link</v>
      </c>
    </row>
    <row r="2159" spans="1:4" x14ac:dyDescent="0.45">
      <c r="A2159" t="s">
        <v>2161</v>
      </c>
      <c r="B2159">
        <v>34.058416800000003</v>
      </c>
      <c r="C2159">
        <v>-117.7513343</v>
      </c>
      <c r="D2159" t="s">
        <v>5</v>
      </c>
    </row>
    <row r="2160" spans="1:4" x14ac:dyDescent="0.45">
      <c r="A2160" t="s">
        <v>2162</v>
      </c>
      <c r="B2160">
        <v>34.057093899999899</v>
      </c>
      <c r="C2160">
        <v>-117.7538946</v>
      </c>
      <c r="D2160" t="s">
        <v>5</v>
      </c>
    </row>
    <row r="2161" spans="1:4" x14ac:dyDescent="0.45">
      <c r="A2161" t="s">
        <v>2163</v>
      </c>
      <c r="B2161">
        <v>34.0573877</v>
      </c>
      <c r="C2161">
        <v>-117.7526323</v>
      </c>
      <c r="D2161" t="str">
        <f>HYPERLINK("https://streetviewpixels-pa.googleapis.com/v1/thumbnail?panoid=LYM_e7muQzvIS1gee8IKaQ&amp;cb_client=search.gws-prod.gps&amp;w=408&amp;h=240&amp;yaw=11.855271&amp;pitch=0&amp;thumbfov=100", "link")</f>
        <v>link</v>
      </c>
    </row>
    <row r="2162" spans="1:4" x14ac:dyDescent="0.45">
      <c r="A2162" t="s">
        <v>2164</v>
      </c>
      <c r="B2162">
        <v>34.088874699999998</v>
      </c>
      <c r="C2162">
        <v>-117.76191710000001</v>
      </c>
      <c r="D2162" t="str">
        <f>HYPERLINK("https://lh5.googleusercontent.com/p/AF1QipNFkw5tNhD0QV0AByi2sRGoMXwt55uylyC02BzQ=w408-h306-k-no", "link")</f>
        <v>link</v>
      </c>
    </row>
    <row r="2163" spans="1:4" x14ac:dyDescent="0.45">
      <c r="A2163" t="s">
        <v>2165</v>
      </c>
      <c r="B2163">
        <v>34.0873723999999</v>
      </c>
      <c r="C2163">
        <v>-117.7632045</v>
      </c>
      <c r="D2163" t="str">
        <f>HYPERLINK("https://lh5.googleusercontent.com/p/AF1QipM5sLafdSwxu50zFe9nIi_M2UGRWSB8DCXTEkyT=w408-h839-k-no", "link")</f>
        <v>link</v>
      </c>
    </row>
    <row r="2164" spans="1:4" x14ac:dyDescent="0.45">
      <c r="A2164" t="s">
        <v>2166</v>
      </c>
      <c r="B2164">
        <v>34.087107000000003</v>
      </c>
      <c r="C2164">
        <v>-117.76322399999999</v>
      </c>
      <c r="D2164" t="str">
        <f>HYPERLINK("https://streetviewpixels-pa.googleapis.com/v1/thumbnail?panoid=5V4zHIU3I03Z-pT7JSOGdg&amp;cb_client=search.gws-prod.gps&amp;w=408&amp;h=240&amp;yaw=39.312775&amp;pitch=0&amp;thumbfov=100", "link")</f>
        <v>link</v>
      </c>
    </row>
    <row r="2165" spans="1:4" x14ac:dyDescent="0.45">
      <c r="A2165" t="s">
        <v>2167</v>
      </c>
      <c r="B2165">
        <v>34.083787699999903</v>
      </c>
      <c r="C2165">
        <v>-117.76775600000001</v>
      </c>
      <c r="D2165" t="s">
        <v>5</v>
      </c>
    </row>
    <row r="2166" spans="1:4" x14ac:dyDescent="0.45">
      <c r="A2166" t="s">
        <v>2168</v>
      </c>
      <c r="B2166">
        <v>34.087884799999998</v>
      </c>
      <c r="C2166">
        <v>-117.75908099999999</v>
      </c>
      <c r="D2166" t="str">
        <f>HYPERLINK("https://lh5.googleusercontent.com/p/AF1QipOKUomzYOOV31JjPZ8wczWR3iCpF-d9Tfh8wx5j=w426-h240-k-no", "link")</f>
        <v>link</v>
      </c>
    </row>
    <row r="2167" spans="1:4" x14ac:dyDescent="0.45">
      <c r="A2167" t="s">
        <v>2169</v>
      </c>
      <c r="B2167">
        <v>34.084598800000002</v>
      </c>
      <c r="C2167">
        <v>-117.7621082</v>
      </c>
      <c r="D2167" t="str">
        <f>HYPERLINK("https://streetviewpixels-pa.googleapis.com/v1/thumbnail?panoid=lt2pqumrGlUDHNn6Az19QA&amp;cb_client=search.gws-prod.gps&amp;w=408&amp;h=240&amp;yaw=73.88364&amp;pitch=0&amp;thumbfov=100", "link")</f>
        <v>link</v>
      </c>
    </row>
    <row r="2168" spans="1:4" x14ac:dyDescent="0.45">
      <c r="A2168" t="s">
        <v>2170</v>
      </c>
      <c r="B2168">
        <v>34.082424899999999</v>
      </c>
      <c r="C2168">
        <v>-117.76610700000001</v>
      </c>
      <c r="D2168" t="s">
        <v>5</v>
      </c>
    </row>
    <row r="2169" spans="1:4" x14ac:dyDescent="0.45">
      <c r="A2169" t="s">
        <v>2171</v>
      </c>
      <c r="B2169">
        <v>34.081082899999998</v>
      </c>
      <c r="C2169">
        <v>-117.76601530000001</v>
      </c>
      <c r="D2169" t="s">
        <v>5</v>
      </c>
    </row>
    <row r="2170" spans="1:4" x14ac:dyDescent="0.45">
      <c r="A2170" t="s">
        <v>2172</v>
      </c>
      <c r="B2170">
        <v>34.093899999999998</v>
      </c>
      <c r="C2170">
        <v>-117.7542881</v>
      </c>
      <c r="D2170" t="s">
        <v>5</v>
      </c>
    </row>
    <row r="2171" spans="1:4" x14ac:dyDescent="0.45">
      <c r="A2171" t="s">
        <v>2173</v>
      </c>
      <c r="B2171">
        <v>34.080125199999998</v>
      </c>
      <c r="C2171">
        <v>-117.7650076</v>
      </c>
      <c r="D2171" t="s">
        <v>5</v>
      </c>
    </row>
    <row r="2172" spans="1:4" x14ac:dyDescent="0.45">
      <c r="A2172" t="s">
        <v>2174</v>
      </c>
      <c r="B2172">
        <v>34.093803899999997</v>
      </c>
      <c r="C2172">
        <v>-117.75333089999999</v>
      </c>
      <c r="D2172" t="str">
        <f>HYPERLINK("https://lh5.googleusercontent.com/p/AF1QipM-RpodpOkoYHZ7PpKcbmpFMi6c17QGvsgWkJ4j=w426-h240-k-no", "link")</f>
        <v>link</v>
      </c>
    </row>
    <row r="2173" spans="1:4" x14ac:dyDescent="0.45">
      <c r="A2173" t="s">
        <v>2175</v>
      </c>
      <c r="B2173">
        <v>34.0804811</v>
      </c>
      <c r="C2173">
        <v>-117.7612512</v>
      </c>
      <c r="D2173" t="s">
        <v>5</v>
      </c>
    </row>
    <row r="2174" spans="1:4" x14ac:dyDescent="0.45">
      <c r="A2174" t="s">
        <v>2176</v>
      </c>
      <c r="B2174">
        <v>34.079186100000001</v>
      </c>
      <c r="C2174">
        <v>-117.7632668</v>
      </c>
      <c r="D2174" t="s">
        <v>5</v>
      </c>
    </row>
    <row r="2175" spans="1:4" x14ac:dyDescent="0.45">
      <c r="A2175" t="s">
        <v>2177</v>
      </c>
      <c r="B2175">
        <v>34.079094300000001</v>
      </c>
      <c r="C2175">
        <v>-117.7613429</v>
      </c>
      <c r="D2175" t="s">
        <v>5</v>
      </c>
    </row>
    <row r="2176" spans="1:4" x14ac:dyDescent="0.45">
      <c r="A2176" t="s">
        <v>2178</v>
      </c>
      <c r="B2176">
        <v>34.058463500000002</v>
      </c>
      <c r="C2176">
        <v>-117.748953</v>
      </c>
      <c r="D2176" t="str">
        <f>HYPERLINK("https://streetviewpixels-pa.googleapis.com/v1/thumbnail?panoid=Yt0drk-gGSU1JzdWxlLwow&amp;cb_client=search.gws-prod.gps&amp;w=408&amp;h=240&amp;yaw=308.57065&amp;pitch=0&amp;thumbfov=100", "link")</f>
        <v>link</v>
      </c>
    </row>
    <row r="2177" spans="1:4" x14ac:dyDescent="0.45">
      <c r="A2177" t="s">
        <v>2179</v>
      </c>
      <c r="B2177">
        <v>34.057070000000003</v>
      </c>
      <c r="C2177">
        <v>-117.7529138</v>
      </c>
      <c r="D2177" t="s">
        <v>5</v>
      </c>
    </row>
    <row r="2178" spans="1:4" x14ac:dyDescent="0.45">
      <c r="A2178" t="s">
        <v>2180</v>
      </c>
      <c r="B2178">
        <v>34.056604399999998</v>
      </c>
      <c r="C2178">
        <v>-117.7526821</v>
      </c>
      <c r="D2178" t="str">
        <f>HYPERLINK("https://lh5.googleusercontent.com/p/AF1QipMyhrlwWKcR88iXvpRgDS5zhDGNS3lwDFdfaLoy=w408-h544-k-no", "link")</f>
        <v>link</v>
      </c>
    </row>
    <row r="2179" spans="1:4" x14ac:dyDescent="0.45">
      <c r="A2179" t="s">
        <v>2181</v>
      </c>
      <c r="B2179">
        <v>34.058273</v>
      </c>
      <c r="C2179">
        <v>-117.7466885</v>
      </c>
      <c r="D2179" t="str">
        <f>HYPERLINK("https://streetviewpixels-pa.googleapis.com/v1/thumbnail?panoid=rFacUpgMQhLESfbS92n16A&amp;cb_client=search.gws-prod.gps&amp;w=408&amp;h=240&amp;yaw=191.67635&amp;pitch=0&amp;thumbfov=100", "link")</f>
        <v>link</v>
      </c>
    </row>
    <row r="2180" spans="1:4" x14ac:dyDescent="0.45">
      <c r="A2180" t="s">
        <v>2182</v>
      </c>
      <c r="B2180">
        <v>34.731041500000003</v>
      </c>
      <c r="C2180">
        <v>-118.3936041</v>
      </c>
      <c r="D2180" t="str">
        <f>HYPERLINK("https://lh5.googleusercontent.com/p/AF1QipOFnEvu2aWPb4vR9DyJe51iG6RagXcmarViH_M=w408-h306-k-no", "link")</f>
        <v>link</v>
      </c>
    </row>
    <row r="2181" spans="1:4" x14ac:dyDescent="0.45">
      <c r="A2181" t="s">
        <v>2183</v>
      </c>
      <c r="B2181">
        <v>34.583557800000001</v>
      </c>
      <c r="C2181">
        <v>-118.32190300000001</v>
      </c>
      <c r="D2181" t="str">
        <f>HYPERLINK("https://lh5.googleusercontent.com/p/AF1QipMRwymb_ngSt4r3WV1fMYxoAZNuIe4cOrhTYrNH=w408-h306-k-no", "link")</f>
        <v>link</v>
      </c>
    </row>
    <row r="2182" spans="1:4" x14ac:dyDescent="0.45">
      <c r="A2182" t="s">
        <v>2184</v>
      </c>
      <c r="B2182">
        <v>34.534492800000002</v>
      </c>
      <c r="C2182">
        <v>-118.3657554</v>
      </c>
      <c r="D2182" t="s">
        <v>5</v>
      </c>
    </row>
    <row r="2183" spans="1:4" x14ac:dyDescent="0.45">
      <c r="A2183" t="s">
        <v>2185</v>
      </c>
      <c r="B2183">
        <v>33.835875600000001</v>
      </c>
      <c r="C2183">
        <v>-118.13649770000001</v>
      </c>
      <c r="D2183" t="s">
        <v>5</v>
      </c>
    </row>
    <row r="2184" spans="1:4" x14ac:dyDescent="0.45">
      <c r="A2184" t="s">
        <v>2186</v>
      </c>
      <c r="B2184">
        <v>33.835258199999998</v>
      </c>
      <c r="C2184">
        <v>-118.1370462</v>
      </c>
      <c r="D2184" t="s">
        <v>5</v>
      </c>
    </row>
    <row r="2185" spans="1:4" x14ac:dyDescent="0.45">
      <c r="A2185" t="s">
        <v>2187</v>
      </c>
      <c r="B2185">
        <v>33.832943299999997</v>
      </c>
      <c r="C2185">
        <v>-118.1343948</v>
      </c>
      <c r="D2185" t="s">
        <v>5</v>
      </c>
    </row>
    <row r="2186" spans="1:4" x14ac:dyDescent="0.45">
      <c r="A2186" t="s">
        <v>2188</v>
      </c>
      <c r="B2186">
        <v>33.819238499999997</v>
      </c>
      <c r="C2186">
        <v>-118.1414346</v>
      </c>
      <c r="D2186" t="s">
        <v>5</v>
      </c>
    </row>
    <row r="2187" spans="1:4" x14ac:dyDescent="0.45">
      <c r="A2187" t="s">
        <v>2189</v>
      </c>
      <c r="B2187">
        <v>33.820110900000003</v>
      </c>
      <c r="C2187">
        <v>-118.14001759999999</v>
      </c>
      <c r="D2187" t="s">
        <v>5</v>
      </c>
    </row>
    <row r="2188" spans="1:4" x14ac:dyDescent="0.45">
      <c r="A2188" t="s">
        <v>2190</v>
      </c>
      <c r="B2188">
        <v>33.819134200000001</v>
      </c>
      <c r="C2188">
        <v>-118.14080989999999</v>
      </c>
      <c r="D2188" t="str">
        <f>HYPERLINK("https://streetviewpixels-pa.googleapis.com/v1/thumbnail?panoid=B93lebDcA6bHgLuYsbHtTQ&amp;cb_client=search.gws-prod.gps&amp;w=408&amp;h=240&amp;yaw=253.7602&amp;pitch=0&amp;thumbfov=100", "link")</f>
        <v>link</v>
      </c>
    </row>
    <row r="2189" spans="1:4" x14ac:dyDescent="0.45">
      <c r="A2189" t="s">
        <v>2191</v>
      </c>
      <c r="B2189">
        <v>33.818146400000003</v>
      </c>
      <c r="C2189">
        <v>-118.1414955</v>
      </c>
      <c r="D2189" t="str">
        <f>HYPERLINK("https://streetviewpixels-pa.googleapis.com/v1/thumbnail?panoid=QCsNpC7khk6cjQ9Zl9_AYw&amp;cb_client=search.gws-prod.gps&amp;w=408&amp;h=240&amp;yaw=93.62327&amp;pitch=0&amp;thumbfov=100", "link")</f>
        <v>link</v>
      </c>
    </row>
    <row r="2190" spans="1:4" x14ac:dyDescent="0.45">
      <c r="A2190" t="s">
        <v>2192</v>
      </c>
      <c r="B2190">
        <v>33.817554600000001</v>
      </c>
      <c r="C2190">
        <v>-118.1420746</v>
      </c>
      <c r="D2190" t="s">
        <v>5</v>
      </c>
    </row>
    <row r="2191" spans="1:4" x14ac:dyDescent="0.45">
      <c r="A2191" t="s">
        <v>2193</v>
      </c>
      <c r="B2191">
        <v>33.819060800000003</v>
      </c>
      <c r="C2191">
        <v>-118.1398804</v>
      </c>
      <c r="D2191" t="s">
        <v>5</v>
      </c>
    </row>
    <row r="2192" spans="1:4" x14ac:dyDescent="0.45">
      <c r="A2192" t="s">
        <v>2194</v>
      </c>
      <c r="B2192">
        <v>33.816881000000002</v>
      </c>
      <c r="C2192">
        <v>-118.1413889</v>
      </c>
      <c r="D2192" t="s">
        <v>5</v>
      </c>
    </row>
    <row r="2193" spans="1:4" x14ac:dyDescent="0.45">
      <c r="A2193" t="s">
        <v>2195</v>
      </c>
      <c r="B2193">
        <v>33.810772700000001</v>
      </c>
      <c r="C2193">
        <v>-118.1542336</v>
      </c>
      <c r="D2193" t="s">
        <v>5</v>
      </c>
    </row>
    <row r="2194" spans="1:4" x14ac:dyDescent="0.45">
      <c r="A2194" t="s">
        <v>2196</v>
      </c>
      <c r="B2194">
        <v>33.816544999999998</v>
      </c>
      <c r="C2194">
        <v>-118.1404747</v>
      </c>
      <c r="D2194" t="s">
        <v>5</v>
      </c>
    </row>
    <row r="2195" spans="1:4" x14ac:dyDescent="0.45">
      <c r="A2195" t="s">
        <v>2197</v>
      </c>
      <c r="B2195">
        <v>33.818047300000003</v>
      </c>
      <c r="C2195">
        <v>-118.1387833</v>
      </c>
      <c r="D2195" t="s">
        <v>5</v>
      </c>
    </row>
    <row r="2196" spans="1:4" x14ac:dyDescent="0.45">
      <c r="A2196" t="s">
        <v>2198</v>
      </c>
      <c r="B2196">
        <v>33.817121200000003</v>
      </c>
      <c r="C2196">
        <v>-118.1396062</v>
      </c>
      <c r="D2196" t="s">
        <v>5</v>
      </c>
    </row>
    <row r="2197" spans="1:4" x14ac:dyDescent="0.45">
      <c r="A2197" t="s">
        <v>2199</v>
      </c>
      <c r="B2197">
        <v>33.816679499999999</v>
      </c>
      <c r="C2197">
        <v>-118.1396098</v>
      </c>
      <c r="D2197" t="str">
        <f>HYPERLINK("https://streetviewpixels-pa.googleapis.com/v1/thumbnail?panoid=6BCm-1vLJWMhvqH4b3iOsA&amp;cb_client=search.gws-prod.gps&amp;w=408&amp;h=240&amp;yaw=238.62016&amp;pitch=0&amp;thumbfov=100", "link")</f>
        <v>link</v>
      </c>
    </row>
    <row r="2198" spans="1:4" x14ac:dyDescent="0.45">
      <c r="A2198" t="s">
        <v>2200</v>
      </c>
      <c r="B2198">
        <v>33.814448599999999</v>
      </c>
      <c r="C2198">
        <v>-118.13969760000001</v>
      </c>
      <c r="D2198" t="s">
        <v>5</v>
      </c>
    </row>
    <row r="2199" spans="1:4" x14ac:dyDescent="0.45">
      <c r="A2199" t="s">
        <v>2201</v>
      </c>
      <c r="B2199">
        <v>33.809077600000002</v>
      </c>
      <c r="C2199">
        <v>-118.1469657</v>
      </c>
      <c r="D2199" t="s">
        <v>5</v>
      </c>
    </row>
    <row r="2200" spans="1:4" x14ac:dyDescent="0.45">
      <c r="A2200" t="s">
        <v>2202</v>
      </c>
      <c r="B2200">
        <v>33.809561000000002</v>
      </c>
      <c r="C2200">
        <v>-118.14527889999999</v>
      </c>
      <c r="D2200" t="str">
        <f>HYPERLINK("https://streetviewpixels-pa.googleapis.com/v1/thumbnail?panoid=c5QX81zGRTS6_z8LZFgAuA&amp;cb_client=search.gws-prod.gps&amp;w=408&amp;h=240&amp;yaw=189.15845&amp;pitch=0&amp;thumbfov=100", "link")</f>
        <v>link</v>
      </c>
    </row>
    <row r="2201" spans="1:4" x14ac:dyDescent="0.45">
      <c r="A2201" t="s">
        <v>2203</v>
      </c>
      <c r="B2201">
        <v>33.831473500000001</v>
      </c>
      <c r="C2201">
        <v>-118.15841279999999</v>
      </c>
      <c r="D2201" t="s">
        <v>5</v>
      </c>
    </row>
    <row r="2202" spans="1:4" x14ac:dyDescent="0.45">
      <c r="A2202" t="s">
        <v>2204</v>
      </c>
      <c r="B2202">
        <v>33.827935400000001</v>
      </c>
      <c r="C2202">
        <v>-118.16031270000001</v>
      </c>
      <c r="D2202" t="s">
        <v>5</v>
      </c>
    </row>
    <row r="2203" spans="1:4" x14ac:dyDescent="0.45">
      <c r="A2203" t="s">
        <v>2205</v>
      </c>
      <c r="B2203">
        <v>33.834128800000002</v>
      </c>
      <c r="C2203">
        <v>-118.15456159999999</v>
      </c>
      <c r="D2203" t="str">
        <f>HYPERLINK("https://streetviewpixels-pa.googleapis.com/v1/thumbnail?panoid=ajmNSZx-MDgoH9oXqZW8Qw&amp;cb_client=search.gws-prod.gps&amp;w=408&amp;h=240&amp;yaw=104.63607&amp;pitch=0&amp;thumbfov=100", "link")</f>
        <v>link</v>
      </c>
    </row>
    <row r="2204" spans="1:4" x14ac:dyDescent="0.45">
      <c r="A2204" t="s">
        <v>2206</v>
      </c>
      <c r="B2204">
        <v>33.823701300000003</v>
      </c>
      <c r="C2204">
        <v>-118.1651643</v>
      </c>
      <c r="D2204" t="s">
        <v>5</v>
      </c>
    </row>
    <row r="2205" spans="1:4" x14ac:dyDescent="0.45">
      <c r="A2205" t="s">
        <v>2207</v>
      </c>
      <c r="B2205">
        <v>33.822501699999997</v>
      </c>
      <c r="C2205">
        <v>-118.1662089</v>
      </c>
      <c r="D2205" t="s">
        <v>5</v>
      </c>
    </row>
    <row r="2206" spans="1:4" x14ac:dyDescent="0.45">
      <c r="A2206" t="s">
        <v>2208</v>
      </c>
      <c r="B2206">
        <v>33.824147000000004</v>
      </c>
      <c r="C2206">
        <v>-118.1478848</v>
      </c>
      <c r="D2206" t="s">
        <v>5</v>
      </c>
    </row>
    <row r="2207" spans="1:4" x14ac:dyDescent="0.45">
      <c r="A2207" t="s">
        <v>2209</v>
      </c>
      <c r="B2207">
        <v>33.8200219</v>
      </c>
      <c r="C2207">
        <v>-118.15871300000001</v>
      </c>
      <c r="D2207" t="s">
        <v>5</v>
      </c>
    </row>
    <row r="2208" spans="1:4" x14ac:dyDescent="0.45">
      <c r="A2208" t="s">
        <v>2210</v>
      </c>
      <c r="B2208">
        <v>33.8205253</v>
      </c>
      <c r="C2208">
        <v>-118.1651119</v>
      </c>
      <c r="D2208" t="s">
        <v>5</v>
      </c>
    </row>
    <row r="2209" spans="1:4" x14ac:dyDescent="0.45">
      <c r="A2209" t="s">
        <v>2211</v>
      </c>
      <c r="B2209">
        <v>33.818498599999998</v>
      </c>
      <c r="C2209">
        <v>-118.1593529</v>
      </c>
      <c r="D2209" t="s">
        <v>5</v>
      </c>
    </row>
    <row r="2210" spans="1:4" x14ac:dyDescent="0.45">
      <c r="A2210" t="s">
        <v>2212</v>
      </c>
      <c r="B2210">
        <v>33.818979800000001</v>
      </c>
      <c r="C2210">
        <v>-118.14421179999999</v>
      </c>
      <c r="D2210" t="str">
        <f>HYPERLINK("https://streetviewpixels-pa.googleapis.com/v1/thumbnail?panoid=3R0VLgpplkCAQUo6sf5W9A&amp;cb_client=search.gws-prod.gps&amp;w=408&amp;h=240&amp;yaw=64.85457&amp;pitch=0&amp;thumbfov=100", "link")</f>
        <v>link</v>
      </c>
    </row>
    <row r="2211" spans="1:4" x14ac:dyDescent="0.45">
      <c r="A2211" t="s">
        <v>2213</v>
      </c>
      <c r="B2211">
        <v>33.818958499999901</v>
      </c>
      <c r="C2211">
        <v>-118.1441875</v>
      </c>
      <c r="D2211" t="str">
        <f>HYPERLINK("https://streetviewpixels-pa.googleapis.com/v1/thumbnail?panoid=3R0VLgpplkCAQUo6sf5W9A&amp;cb_client=search.gws-prod.gps&amp;w=408&amp;h=240&amp;yaw=64.85457&amp;pitch=0&amp;thumbfov=100", "link")</f>
        <v>link</v>
      </c>
    </row>
    <row r="2212" spans="1:4" x14ac:dyDescent="0.45">
      <c r="A2212" t="s">
        <v>2214</v>
      </c>
      <c r="B2212">
        <v>33.818985699999999</v>
      </c>
      <c r="C2212">
        <v>-118.1441408</v>
      </c>
      <c r="D2212" t="str">
        <f>HYPERLINK("https://streetviewpixels-pa.googleapis.com/v1/thumbnail?panoid=3R0VLgpplkCAQUo6sf5W9A&amp;cb_client=search.gws-prod.gps&amp;w=408&amp;h=240&amp;yaw=64.85457&amp;pitch=0&amp;thumbfov=100", "link")</f>
        <v>link</v>
      </c>
    </row>
    <row r="2213" spans="1:4" x14ac:dyDescent="0.45">
      <c r="A2213" t="s">
        <v>2215</v>
      </c>
      <c r="B2213">
        <v>33.8184775</v>
      </c>
      <c r="C2213">
        <v>-118.1435374</v>
      </c>
      <c r="D2213" t="s">
        <v>5</v>
      </c>
    </row>
    <row r="2214" spans="1:4" x14ac:dyDescent="0.45">
      <c r="A2214" t="s">
        <v>2216</v>
      </c>
      <c r="B2214">
        <v>33.818479799999999</v>
      </c>
      <c r="C2214">
        <v>-118.1434886</v>
      </c>
      <c r="D2214" t="s">
        <v>5</v>
      </c>
    </row>
    <row r="2215" spans="1:4" x14ac:dyDescent="0.45">
      <c r="A2215" t="s">
        <v>2217</v>
      </c>
      <c r="B2215">
        <v>33.817744699999999</v>
      </c>
      <c r="C2215">
        <v>-118.1439031</v>
      </c>
      <c r="D2215" t="str">
        <f>HYPERLINK("https://streetviewpixels-pa.googleapis.com/v1/thumbnail?panoid=fIIm0gqNiDEJG13Cj7juBQ&amp;cb_client=search.gws-prod.gps&amp;w=408&amp;h=240&amp;yaw=287.16925&amp;pitch=0&amp;thumbfov=100", "link")</f>
        <v>link</v>
      </c>
    </row>
    <row r="2216" spans="1:4" x14ac:dyDescent="0.45">
      <c r="A2216" t="s">
        <v>2218</v>
      </c>
      <c r="B2216">
        <v>33.820800800000001</v>
      </c>
      <c r="C2216">
        <v>-118.1404747</v>
      </c>
      <c r="D2216" t="s">
        <v>5</v>
      </c>
    </row>
    <row r="2217" spans="1:4" x14ac:dyDescent="0.45">
      <c r="A2217" t="s">
        <v>2219</v>
      </c>
      <c r="B2217">
        <v>33.817692800000003</v>
      </c>
      <c r="C2217">
        <v>-118.1436114</v>
      </c>
      <c r="D2217" t="str">
        <f>HYPERLINK("https://streetviewpixels-pa.googleapis.com/v1/thumbnail?panoid=fIIm0gqNiDEJG13Cj7juBQ&amp;cb_client=search.gws-prod.gps&amp;w=408&amp;h=240&amp;yaw=287.16925&amp;pitch=0&amp;thumbfov=100", "link")</f>
        <v>link</v>
      </c>
    </row>
    <row r="2218" spans="1:4" x14ac:dyDescent="0.45">
      <c r="A2218" t="s">
        <v>2220</v>
      </c>
      <c r="B2218">
        <v>33.819428799999997</v>
      </c>
      <c r="C2218">
        <v>-118.14141720000001</v>
      </c>
      <c r="D2218" t="s">
        <v>5</v>
      </c>
    </row>
    <row r="2219" spans="1:4" x14ac:dyDescent="0.45">
      <c r="A2219" t="s">
        <v>2221</v>
      </c>
      <c r="B2219">
        <v>33.820735999999897</v>
      </c>
      <c r="C2219">
        <v>-118.1401441</v>
      </c>
      <c r="D2219" t="str">
        <f>HYPERLINK("https://streetviewpixels-pa.googleapis.com/v1/thumbnail?panoid=EHiQfyNawbBrf9nEwyAmsQ&amp;cb_client=search.gws-prod.gps&amp;w=408&amp;h=240&amp;yaw=29.523277&amp;pitch=0&amp;thumbfov=100", "link")</f>
        <v>link</v>
      </c>
    </row>
    <row r="2220" spans="1:4" x14ac:dyDescent="0.45">
      <c r="A2220" t="s">
        <v>2222</v>
      </c>
      <c r="B2220">
        <v>33.812347799999998</v>
      </c>
      <c r="C2220">
        <v>-118.1396694</v>
      </c>
      <c r="D2220" t="s">
        <v>5</v>
      </c>
    </row>
    <row r="2221" spans="1:4" x14ac:dyDescent="0.45">
      <c r="A2221" t="s">
        <v>2223</v>
      </c>
      <c r="B2221">
        <v>33.808463199999998</v>
      </c>
      <c r="C2221">
        <v>-118.1836163</v>
      </c>
      <c r="D2221" t="str">
        <f>HYPERLINK("https://streetviewpixels-pa.googleapis.com/v1/thumbnail?panoid=q5O6RD7BaT6zvptK6V78JQ&amp;cb_client=search.gws-prod.gps&amp;w=408&amp;h=240&amp;yaw=359.1026&amp;pitch=0&amp;thumbfov=100", "link")</f>
        <v>link</v>
      </c>
    </row>
    <row r="2222" spans="1:4" x14ac:dyDescent="0.45">
      <c r="A2222" t="s">
        <v>2224</v>
      </c>
      <c r="B2222">
        <v>33.803882600000001</v>
      </c>
      <c r="C2222">
        <v>-118.1450936</v>
      </c>
      <c r="D2222" t="str">
        <f>HYPERLINK("https://streetviewpixels-pa.googleapis.com/v1/thumbnail?panoid=LumBRsPF_tSKZiDkPvxFFg&amp;cb_client=search.gws-prod.gps&amp;w=408&amp;h=240&amp;yaw=0.57770544&amp;pitch=0&amp;thumbfov=100", "link")</f>
        <v>link</v>
      </c>
    </row>
    <row r="2223" spans="1:4" x14ac:dyDescent="0.45">
      <c r="A2223" t="s">
        <v>2225</v>
      </c>
      <c r="B2223">
        <v>33.799324200000001</v>
      </c>
      <c r="C2223">
        <v>-118.1402918</v>
      </c>
      <c r="D2223" t="s">
        <v>5</v>
      </c>
    </row>
    <row r="2224" spans="1:4" x14ac:dyDescent="0.45">
      <c r="A2224" t="s">
        <v>2226</v>
      </c>
      <c r="B2224">
        <v>33.804957100000003</v>
      </c>
      <c r="C2224">
        <v>-118.1507371</v>
      </c>
      <c r="D2224" t="str">
        <f>HYPERLINK("https://lh5.googleusercontent.com/p/AF1QipNhVV26F1i3omJNAa8rkYEQRyr5WuF_iwTjMtSH=w408-h725-k-no", "link")</f>
        <v>link</v>
      </c>
    </row>
    <row r="2225" spans="1:4" x14ac:dyDescent="0.45">
      <c r="A2225" t="s">
        <v>2227</v>
      </c>
      <c r="B2225">
        <v>33.793895200000001</v>
      </c>
      <c r="C2225">
        <v>-118.1360177</v>
      </c>
      <c r="D2225" t="str">
        <f>HYPERLINK("https://streetviewpixels-pa.googleapis.com/v1/thumbnail?panoid=Bct6EK3KopZ0A62XolbsWw&amp;cb_client=search.gws-prod.gps&amp;w=408&amp;h=240&amp;yaw=140.4644&amp;pitch=0&amp;thumbfov=100", "link")</f>
        <v>link</v>
      </c>
    </row>
    <row r="2226" spans="1:4" x14ac:dyDescent="0.45">
      <c r="A2226" t="s">
        <v>2228</v>
      </c>
      <c r="B2226">
        <v>33.810622100000003</v>
      </c>
      <c r="C2226">
        <v>-118.13796050000001</v>
      </c>
      <c r="D2226" t="s">
        <v>5</v>
      </c>
    </row>
    <row r="2227" spans="1:4" x14ac:dyDescent="0.45">
      <c r="A2227" t="s">
        <v>2229</v>
      </c>
      <c r="B2227">
        <v>33.810107500000001</v>
      </c>
      <c r="C2227">
        <v>-118.1384176</v>
      </c>
      <c r="D2227" t="s">
        <v>5</v>
      </c>
    </row>
    <row r="2228" spans="1:4" x14ac:dyDescent="0.45">
      <c r="A2228" t="s">
        <v>2230</v>
      </c>
      <c r="B2228">
        <v>33.811373000000003</v>
      </c>
      <c r="C2228">
        <v>-118.136714</v>
      </c>
      <c r="D2228" t="str">
        <f>HYPERLINK("https://streetviewpixels-pa.googleapis.com/v1/thumbnail?panoid=LwmS-JjTnqwOnuMjpavTNg&amp;cb_client=search.gws-prod.gps&amp;w=408&amp;h=240&amp;yaw=72.26458&amp;pitch=0&amp;thumbfov=100", "link")</f>
        <v>link</v>
      </c>
    </row>
    <row r="2229" spans="1:4" x14ac:dyDescent="0.45">
      <c r="A2229" t="s">
        <v>2231</v>
      </c>
      <c r="B2229">
        <v>33.809193999999998</v>
      </c>
      <c r="C2229">
        <v>-118.1357185</v>
      </c>
      <c r="D2229" t="str">
        <f>HYPERLINK("https://streetviewpixels-pa.googleapis.com/v1/thumbnail?panoid=nQh1V6V8MJvI6bnTmcM6_g&amp;cb_client=search.gws-prod.gps&amp;w=408&amp;h=240&amp;yaw=36.764732&amp;pitch=0&amp;thumbfov=100", "link")</f>
        <v>link</v>
      </c>
    </row>
    <row r="2230" spans="1:4" x14ac:dyDescent="0.45">
      <c r="A2230" t="s">
        <v>2232</v>
      </c>
      <c r="B2230">
        <v>33.8087217</v>
      </c>
      <c r="C2230">
        <v>-118.1344405</v>
      </c>
      <c r="D2230" t="str">
        <f>HYPERLINK("https://streetviewpixels-pa.googleapis.com/v1/thumbnail?panoid=MBsjP36Ah_R7CZ3GnfCVVw&amp;cb_client=search.gws-prod.gps&amp;w=408&amp;h=240&amp;yaw=93.93182&amp;pitch=0&amp;thumbfov=100", "link")</f>
        <v>link</v>
      </c>
    </row>
    <row r="2231" spans="1:4" x14ac:dyDescent="0.45">
      <c r="A2231" t="s">
        <v>2233</v>
      </c>
      <c r="B2231">
        <v>33.807760399999999</v>
      </c>
      <c r="C2231">
        <v>-118.1350805</v>
      </c>
      <c r="D2231" t="s">
        <v>5</v>
      </c>
    </row>
    <row r="2232" spans="1:4" x14ac:dyDescent="0.45">
      <c r="A2232" t="s">
        <v>2234</v>
      </c>
      <c r="B2232">
        <v>33.806848100000003</v>
      </c>
      <c r="C2232">
        <v>-118.1350348</v>
      </c>
      <c r="D2232" t="s">
        <v>5</v>
      </c>
    </row>
    <row r="2233" spans="1:4" x14ac:dyDescent="0.45">
      <c r="A2233" t="s">
        <v>2235</v>
      </c>
      <c r="B2233">
        <v>33.808231900000003</v>
      </c>
      <c r="C2233">
        <v>-118.1435937</v>
      </c>
      <c r="D2233" t="s">
        <v>5</v>
      </c>
    </row>
    <row r="2234" spans="1:4" x14ac:dyDescent="0.45">
      <c r="A2234" t="s">
        <v>2236</v>
      </c>
      <c r="B2234">
        <v>33.803584800000003</v>
      </c>
      <c r="C2234">
        <v>-118.134497</v>
      </c>
      <c r="D2234" t="s">
        <v>5</v>
      </c>
    </row>
    <row r="2235" spans="1:4" x14ac:dyDescent="0.45">
      <c r="A2235" t="s">
        <v>2237</v>
      </c>
      <c r="B2235">
        <v>34.698525400000001</v>
      </c>
      <c r="C2235">
        <v>-118.1449033</v>
      </c>
      <c r="D2235" t="str">
        <f>HYPERLINK("https://streetviewpixels-pa.googleapis.com/v1/thumbnail?panoid=6hRMZ-9m-oVmkrATyhdduQ&amp;cb_client=search.gws-prod.gps&amp;w=408&amp;h=240&amp;yaw=191.13008&amp;pitch=0&amp;thumbfov=100", "link")</f>
        <v>link</v>
      </c>
    </row>
    <row r="2236" spans="1:4" x14ac:dyDescent="0.45">
      <c r="A2236" t="s">
        <v>2238</v>
      </c>
      <c r="B2236">
        <v>34.696953499999999</v>
      </c>
      <c r="C2236">
        <v>-118.13649770000001</v>
      </c>
      <c r="D2236" t="str">
        <f>HYPERLINK("https://lh5.googleusercontent.com/p/AF1QipNfszzcPz-jnU6AS7b3R41dZvWpJPUL8Qdcwx63=w408-h543-k-no", "link")</f>
        <v>link</v>
      </c>
    </row>
    <row r="2237" spans="1:4" x14ac:dyDescent="0.45">
      <c r="A2237" t="s">
        <v>2239</v>
      </c>
      <c r="B2237">
        <v>34.696882899999999</v>
      </c>
      <c r="C2237">
        <v>-118.13640169999999</v>
      </c>
      <c r="D2237" t="str">
        <f>HYPERLINK("https://lh5.googleusercontent.com/p/AF1QipNfszzcPz-jnU6AS7b3R41dZvWpJPUL8Qdcwx63=w408-h543-k-no", "link")</f>
        <v>link</v>
      </c>
    </row>
    <row r="2238" spans="1:4" x14ac:dyDescent="0.45">
      <c r="A2238" t="s">
        <v>2240</v>
      </c>
      <c r="B2238">
        <v>34.711682099999997</v>
      </c>
      <c r="C2238">
        <v>-118.138829</v>
      </c>
      <c r="D2238" t="s">
        <v>5</v>
      </c>
    </row>
    <row r="2239" spans="1:4" x14ac:dyDescent="0.45">
      <c r="A2239" t="s">
        <v>2241</v>
      </c>
      <c r="B2239">
        <v>34.712159300000003</v>
      </c>
      <c r="C2239">
        <v>-118.138829</v>
      </c>
      <c r="D2239" t="s">
        <v>5</v>
      </c>
    </row>
    <row r="2240" spans="1:4" x14ac:dyDescent="0.45">
      <c r="A2240" t="s">
        <v>2242</v>
      </c>
      <c r="B2240">
        <v>34.682067000000004</v>
      </c>
      <c r="C2240">
        <v>-118.166571</v>
      </c>
      <c r="D2240" t="str">
        <f>HYPERLINK("https://streetviewpixels-pa.googleapis.com/v1/thumbnail?panoid=Z5YTO1gkbnRIcn9q_a6xiw&amp;cb_client=search.gws-prod.gps&amp;w=408&amp;h=240&amp;yaw=184.15657&amp;pitch=0&amp;thumbfov=100", "link")</f>
        <v>link</v>
      </c>
    </row>
    <row r="2241" spans="1:4" x14ac:dyDescent="0.45">
      <c r="A2241" t="s">
        <v>2243</v>
      </c>
      <c r="B2241">
        <v>34.678707000000003</v>
      </c>
      <c r="C2241">
        <v>-118.163645</v>
      </c>
      <c r="D2241" t="str">
        <f>HYPERLINK("https://lh5.googleusercontent.com/p/AF1QipMftkpSgyVnMGeEPR_UJwfOs1G23rHh1n-boYlI=w408-h306-k-no", "link")</f>
        <v>link</v>
      </c>
    </row>
    <row r="2242" spans="1:4" x14ac:dyDescent="0.45">
      <c r="A2242" t="s">
        <v>2244</v>
      </c>
      <c r="B2242">
        <v>34.675388599999998</v>
      </c>
      <c r="C2242">
        <v>-118.1592248</v>
      </c>
      <c r="D2242" t="str">
        <f>HYPERLINK("https://streetviewpixels-pa.googleapis.com/v1/thumbnail?panoid=OIqUarBvv5Poo_eEG1bY3w&amp;cb_client=search.gws-prod.gps&amp;w=408&amp;h=240&amp;yaw=358.9028&amp;pitch=0&amp;thumbfov=100", "link")</f>
        <v>link</v>
      </c>
    </row>
    <row r="2243" spans="1:4" x14ac:dyDescent="0.45">
      <c r="A2243" t="s">
        <v>2245</v>
      </c>
      <c r="B2243">
        <v>34.693388999999897</v>
      </c>
      <c r="C2243">
        <v>-118.1721156</v>
      </c>
      <c r="D2243" t="str">
        <f>HYPERLINK("https://streetviewpixels-pa.googleapis.com/v1/thumbnail?panoid=vyxPmmBHRj3XFGUte8Wv_A&amp;cb_client=search.gws-prod.gps&amp;w=408&amp;h=240&amp;yaw=325.52585&amp;pitch=0&amp;thumbfov=100", "link")</f>
        <v>link</v>
      </c>
    </row>
    <row r="2244" spans="1:4" x14ac:dyDescent="0.45">
      <c r="A2244" t="s">
        <v>2246</v>
      </c>
      <c r="B2244">
        <v>34.646260900000001</v>
      </c>
      <c r="C2244">
        <v>-118.1166407</v>
      </c>
      <c r="D2244" t="str">
        <f>HYPERLINK("https://lh5.googleusercontent.com/p/AF1QipNmcPw3GPETTwKWemlzIavcejTKdUaJsBsXGDLv=w427-h240-k-no", "link")</f>
        <v>link</v>
      </c>
    </row>
    <row r="2245" spans="1:4" x14ac:dyDescent="0.45">
      <c r="A2245" t="s">
        <v>2247</v>
      </c>
      <c r="B2245">
        <v>34.620887400000001</v>
      </c>
      <c r="C2245">
        <v>-118.1106219</v>
      </c>
      <c r="D2245" t="s">
        <v>5</v>
      </c>
    </row>
    <row r="2246" spans="1:4" x14ac:dyDescent="0.45">
      <c r="A2246" t="s">
        <v>2248</v>
      </c>
      <c r="B2246">
        <v>34.661726899999998</v>
      </c>
      <c r="C2246">
        <v>-118.1470953</v>
      </c>
      <c r="D2246" t="s">
        <v>5</v>
      </c>
    </row>
    <row r="2247" spans="1:4" x14ac:dyDescent="0.45">
      <c r="A2247" t="s">
        <v>2249</v>
      </c>
      <c r="B2247">
        <v>34.608153700000003</v>
      </c>
      <c r="C2247">
        <v>-118.1458501</v>
      </c>
      <c r="D2247" t="str">
        <f>HYPERLINK("https://streetviewpixels-pa.googleapis.com/v1/thumbnail?panoid=T9qK7sjEXaCPeeThiuUPbQ&amp;cb_client=search.gws-prod.gps&amp;w=408&amp;h=240&amp;yaw=143.72845&amp;pitch=0&amp;thumbfov=100", "link")</f>
        <v>link</v>
      </c>
    </row>
    <row r="2248" spans="1:4" x14ac:dyDescent="0.45">
      <c r="A2248" t="s">
        <v>2250</v>
      </c>
      <c r="B2248">
        <v>34.601649999999999</v>
      </c>
      <c r="C2248">
        <v>-118.138353</v>
      </c>
      <c r="D2248" t="str">
        <f>HYPERLINK("https://streetviewpixels-pa.googleapis.com/v1/thumbnail?panoid=4UiZOmj9sgzUElP9HpzOUg&amp;cb_client=search.gws-prod.gps&amp;w=408&amp;h=240&amp;yaw=134.11296&amp;pitch=0&amp;thumbfov=100", "link")</f>
        <v>link</v>
      </c>
    </row>
    <row r="2249" spans="1:4" x14ac:dyDescent="0.45">
      <c r="A2249" t="s">
        <v>2251</v>
      </c>
      <c r="B2249">
        <v>34.719371199999998</v>
      </c>
      <c r="C2249">
        <v>-118.17653799999999</v>
      </c>
      <c r="D2249" t="str">
        <f>HYPERLINK("https://streetviewpixels-pa.googleapis.com/v1/thumbnail?panoid=0d4-9Wn5KdJoO_r2j8nQtg&amp;cb_client=search.gws-prod.gps&amp;w=408&amp;h=240&amp;yaw=340.01132&amp;pitch=0&amp;thumbfov=100", "link")</f>
        <v>link</v>
      </c>
    </row>
    <row r="2250" spans="1:4" x14ac:dyDescent="0.45">
      <c r="A2250" t="s">
        <v>2252</v>
      </c>
      <c r="B2250">
        <v>33.871710800000002</v>
      </c>
      <c r="C2250">
        <v>-118.3560566</v>
      </c>
      <c r="D2250" t="str">
        <f>HYPERLINK("https://lh5.googleusercontent.com/p/AF1QipP5Xb7Hbb5W54T5QJWapl276FdHRTe-1UGw2cVK=w444-h240-k-no", "link")</f>
        <v>link</v>
      </c>
    </row>
    <row r="2251" spans="1:4" x14ac:dyDescent="0.45">
      <c r="A2251" t="s">
        <v>2253</v>
      </c>
      <c r="B2251">
        <v>33.810664699999997</v>
      </c>
      <c r="C2251">
        <v>-118.34477939999999</v>
      </c>
      <c r="D2251" t="s">
        <v>5</v>
      </c>
    </row>
    <row r="2252" spans="1:4" x14ac:dyDescent="0.45">
      <c r="A2252" t="s">
        <v>2254</v>
      </c>
      <c r="B2252">
        <v>33.813270099999997</v>
      </c>
      <c r="C2252">
        <v>-118.3440758</v>
      </c>
      <c r="D2252" t="str">
        <f>HYPERLINK("https://streetviewpixels-pa.googleapis.com/v1/thumbnail?panoid=wlomAdRg4qfUE0zKvozduA&amp;cb_client=search.gws-prod.gps&amp;w=408&amp;h=240&amp;yaw=7.9377155&amp;pitch=0&amp;thumbfov=100", "link")</f>
        <v>link</v>
      </c>
    </row>
    <row r="2253" spans="1:4" x14ac:dyDescent="0.45">
      <c r="A2253" t="s">
        <v>2255</v>
      </c>
      <c r="B2253">
        <v>33.777700500000002</v>
      </c>
      <c r="C2253">
        <v>-118.36105809999999</v>
      </c>
      <c r="D2253" t="s">
        <v>5</v>
      </c>
    </row>
    <row r="2254" spans="1:4" x14ac:dyDescent="0.45">
      <c r="A2254" t="s">
        <v>2256</v>
      </c>
      <c r="B2254">
        <v>33.777014000000001</v>
      </c>
      <c r="C2254">
        <v>-118.361502</v>
      </c>
      <c r="D2254" t="s">
        <v>5</v>
      </c>
    </row>
    <row r="2255" spans="1:4" x14ac:dyDescent="0.45">
      <c r="A2255" t="s">
        <v>2257</v>
      </c>
      <c r="B2255">
        <v>33.8131281</v>
      </c>
      <c r="C2255">
        <v>-118.348569</v>
      </c>
      <c r="D2255" t="s">
        <v>5</v>
      </c>
    </row>
    <row r="2256" spans="1:4" x14ac:dyDescent="0.45">
      <c r="A2256" t="s">
        <v>2258</v>
      </c>
      <c r="B2256">
        <v>33.815515900000001</v>
      </c>
      <c r="C2256">
        <v>-118.35185629999999</v>
      </c>
      <c r="D2256" t="s">
        <v>5</v>
      </c>
    </row>
    <row r="2257" spans="1:4" x14ac:dyDescent="0.45">
      <c r="A2257" t="s">
        <v>2259</v>
      </c>
      <c r="B2257">
        <v>33.815719899999998</v>
      </c>
      <c r="C2257">
        <v>-118.35202390000001</v>
      </c>
      <c r="D2257" t="str">
        <f>HYPERLINK("https://streetviewpixels-pa.googleapis.com/v1/thumbnail?panoid=aVkjj2uCCf03UtWFWkFEGg&amp;cb_client=search.gws-prod.gps&amp;w=408&amp;h=240&amp;yaw=230.18974&amp;pitch=0&amp;thumbfov=100", "link")</f>
        <v>link</v>
      </c>
    </row>
    <row r="2258" spans="1:4" x14ac:dyDescent="0.45">
      <c r="A2258" t="s">
        <v>2260</v>
      </c>
      <c r="B2258">
        <v>33.830651400000001</v>
      </c>
      <c r="C2258">
        <v>-118.3253637</v>
      </c>
      <c r="D2258" t="str">
        <f>HYPERLINK("https://streetviewpixels-pa.googleapis.com/v1/thumbnail?panoid=dhyegu5PrLCA8njsefjehA&amp;cb_client=search.gws-prod.gps&amp;w=408&amp;h=240&amp;yaw=125.60826&amp;pitch=0&amp;thumbfov=100", "link")</f>
        <v>link</v>
      </c>
    </row>
    <row r="2259" spans="1:4" x14ac:dyDescent="0.45">
      <c r="A2259" t="s">
        <v>2261</v>
      </c>
      <c r="B2259">
        <v>33.742680999999997</v>
      </c>
      <c r="C2259">
        <v>-118.33562480000001</v>
      </c>
      <c r="D2259" t="s">
        <v>5</v>
      </c>
    </row>
    <row r="2260" spans="1:4" x14ac:dyDescent="0.45">
      <c r="A2260" t="s">
        <v>2262</v>
      </c>
      <c r="B2260">
        <v>33.772288400000001</v>
      </c>
      <c r="C2260">
        <v>-118.37456950000001</v>
      </c>
      <c r="D2260" t="s">
        <v>5</v>
      </c>
    </row>
    <row r="2261" spans="1:4" x14ac:dyDescent="0.45">
      <c r="A2261" t="s">
        <v>2263</v>
      </c>
      <c r="B2261">
        <v>33.783063300000002</v>
      </c>
      <c r="C2261">
        <v>-118.35076050000001</v>
      </c>
      <c r="D2261" t="s">
        <v>5</v>
      </c>
    </row>
    <row r="2262" spans="1:4" x14ac:dyDescent="0.45">
      <c r="A2262" t="s">
        <v>2264</v>
      </c>
      <c r="B2262">
        <v>33.793727199999999</v>
      </c>
      <c r="C2262">
        <v>-118.3523536</v>
      </c>
      <c r="D2262" t="s">
        <v>5</v>
      </c>
    </row>
    <row r="2263" spans="1:4" x14ac:dyDescent="0.45">
      <c r="A2263" t="s">
        <v>2265</v>
      </c>
      <c r="B2263">
        <v>33.766110500000003</v>
      </c>
      <c r="C2263">
        <v>-118.190614</v>
      </c>
      <c r="D2263" t="s">
        <v>5</v>
      </c>
    </row>
    <row r="2264" spans="1:4" x14ac:dyDescent="0.45">
      <c r="A2264" t="s">
        <v>2266</v>
      </c>
      <c r="B2264">
        <v>33.766971599999998</v>
      </c>
      <c r="C2264">
        <v>-118.1857091</v>
      </c>
      <c r="D2264" t="str">
        <f>HYPERLINK("https://streetviewpixels-pa.googleapis.com/v1/thumbnail?panoid=ZQzadeu5Vj1fSltaV3l7yg&amp;cb_client=search.gws-prod.gps&amp;w=408&amp;h=240&amp;yaw=11.144292&amp;pitch=0&amp;thumbfov=100", "link")</f>
        <v>link</v>
      </c>
    </row>
    <row r="2265" spans="1:4" x14ac:dyDescent="0.45">
      <c r="A2265" t="s">
        <v>2267</v>
      </c>
      <c r="B2265">
        <v>33.767251199999997</v>
      </c>
      <c r="C2265">
        <v>-118.1873338</v>
      </c>
      <c r="D2265" t="str">
        <f>HYPERLINK("https://streetviewpixels-pa.googleapis.com/v1/thumbnail?panoid=TxPHYPrt2WH3uZ7QHJXnkw&amp;cb_client=search.gws-prod.gps&amp;w=408&amp;h=240&amp;yaw=86.44859&amp;pitch=0&amp;thumbfov=100", "link")</f>
        <v>link</v>
      </c>
    </row>
    <row r="2266" spans="1:4" x14ac:dyDescent="0.45">
      <c r="A2266" t="s">
        <v>2268</v>
      </c>
      <c r="B2266">
        <v>33.767378999999998</v>
      </c>
      <c r="C2266">
        <v>-118.1872891</v>
      </c>
      <c r="D2266" t="str">
        <f>HYPERLINK("https://streetviewpixels-pa.googleapis.com/v1/thumbnail?panoid=TxPHYPrt2WH3uZ7QHJXnkw&amp;cb_client=search.gws-prod.gps&amp;w=408&amp;h=240&amp;yaw=86.44859&amp;pitch=0&amp;thumbfov=100", "link")</f>
        <v>link</v>
      </c>
    </row>
    <row r="2267" spans="1:4" x14ac:dyDescent="0.45">
      <c r="A2267" t="s">
        <v>2269</v>
      </c>
      <c r="B2267">
        <v>33.763046799999998</v>
      </c>
      <c r="C2267">
        <v>-118.1939043</v>
      </c>
      <c r="D2267" t="s">
        <v>5</v>
      </c>
    </row>
    <row r="2268" spans="1:4" x14ac:dyDescent="0.45">
      <c r="A2268" t="s">
        <v>2270</v>
      </c>
      <c r="B2268">
        <v>33.766057199999999</v>
      </c>
      <c r="C2268">
        <v>-118.1915712</v>
      </c>
      <c r="D2268" t="str">
        <f>HYPERLINK("https://streetviewpixels-pa.googleapis.com/v1/thumbnail?panoid=O8CiWN6Osp6MvKs4pvA04g&amp;cb_client=search.gws-prod.gps&amp;w=408&amp;h=240&amp;yaw=2.8059168&amp;pitch=0&amp;thumbfov=100", "link")</f>
        <v>link</v>
      </c>
    </row>
    <row r="2269" spans="1:4" x14ac:dyDescent="0.45">
      <c r="A2269" t="s">
        <v>2271</v>
      </c>
      <c r="B2269">
        <v>33.766726200000001</v>
      </c>
      <c r="C2269">
        <v>-118.1905072</v>
      </c>
      <c r="D2269" t="str">
        <f>HYPERLINK("https://streetviewpixels-pa.googleapis.com/v1/thumbnail?panoid=F_NNY6pQtU4Y0GrXmWRPIg&amp;cb_client=search.gws-prod.gps&amp;w=408&amp;h=240&amp;yaw=203.5789&amp;pitch=0&amp;thumbfov=100", "link")</f>
        <v>link</v>
      </c>
    </row>
    <row r="2270" spans="1:4" x14ac:dyDescent="0.45">
      <c r="A2270" t="s">
        <v>2272</v>
      </c>
      <c r="B2270">
        <v>33.767662799999997</v>
      </c>
      <c r="C2270">
        <v>-118.18823759999999</v>
      </c>
      <c r="D2270" t="str">
        <f>HYPERLINK("https://streetviewpixels-pa.googleapis.com/v1/thumbnail?panoid=tv75dG3mk2Ria48_-uNszQ&amp;cb_client=search.gws-prod.gps&amp;w=408&amp;h=240&amp;yaw=77.683495&amp;pitch=0&amp;thumbfov=100", "link")</f>
        <v>link</v>
      </c>
    </row>
    <row r="2271" spans="1:4" x14ac:dyDescent="0.45">
      <c r="A2271" t="s">
        <v>2273</v>
      </c>
      <c r="B2271">
        <v>33.767493599999902</v>
      </c>
      <c r="C2271">
        <v>-118.18915990000001</v>
      </c>
      <c r="D2271" t="str">
        <f>HYPERLINK("https://streetviewpixels-pa.googleapis.com/v1/thumbnail?panoid=nhkpQRo19XPeR6M5NaEOzg&amp;cb_client=search.gws-prod.gps&amp;w=408&amp;h=240&amp;yaw=237.34094&amp;pitch=0&amp;thumbfov=100", "link")</f>
        <v>link</v>
      </c>
    </row>
    <row r="2272" spans="1:4" x14ac:dyDescent="0.45">
      <c r="A2272" t="s">
        <v>2274</v>
      </c>
      <c r="B2272">
        <v>33.766268400000001</v>
      </c>
      <c r="C2272">
        <v>-118.1919925</v>
      </c>
      <c r="D2272" t="s">
        <v>5</v>
      </c>
    </row>
    <row r="2273" spans="1:4" x14ac:dyDescent="0.45">
      <c r="A2273" t="s">
        <v>2275</v>
      </c>
      <c r="B2273">
        <v>33.7678139</v>
      </c>
      <c r="C2273">
        <v>-118.1859934</v>
      </c>
      <c r="D2273" t="str">
        <f>HYPERLINK("https://streetviewpixels-pa.googleapis.com/v1/thumbnail?panoid=Vt-8w6Xq-m_NMYfGWCmFMw&amp;cb_client=search.gws-prod.gps&amp;w=408&amp;h=240&amp;yaw=195.62213&amp;pitch=0&amp;thumbfov=100", "link")</f>
        <v>link</v>
      </c>
    </row>
    <row r="2274" spans="1:4" x14ac:dyDescent="0.45">
      <c r="A2274" t="s">
        <v>2276</v>
      </c>
      <c r="B2274">
        <v>33.767749899999998</v>
      </c>
      <c r="C2274">
        <v>-118.18470240000001</v>
      </c>
      <c r="D2274" t="str">
        <f>HYPERLINK("https://streetviewpixels-pa.googleapis.com/v1/thumbnail?panoid=1ztxPjs4A9tcqPwVMlln9g&amp;cb_client=search.gws-prod.gps&amp;w=408&amp;h=240&amp;yaw=124.142525&amp;pitch=0&amp;thumbfov=100", "link")</f>
        <v>link</v>
      </c>
    </row>
    <row r="2275" spans="1:4" x14ac:dyDescent="0.45">
      <c r="A2275" t="s">
        <v>2277</v>
      </c>
      <c r="B2275">
        <v>33.767787200000001</v>
      </c>
      <c r="C2275">
        <v>-118.1900163</v>
      </c>
      <c r="D2275" t="str">
        <f>HYPERLINK("https://streetviewpixels-pa.googleapis.com/v1/thumbnail?panoid=bs2VWmu_Rn4In774RQYZNg&amp;cb_client=search.gws-prod.gps&amp;w=408&amp;h=240&amp;yaw=266.16644&amp;pitch=0&amp;thumbfov=100", "link")</f>
        <v>link</v>
      </c>
    </row>
    <row r="2276" spans="1:4" x14ac:dyDescent="0.45">
      <c r="A2276" t="s">
        <v>2278</v>
      </c>
      <c r="B2276">
        <v>33.768293499999999</v>
      </c>
      <c r="C2276">
        <v>-118.1873693</v>
      </c>
      <c r="D2276" t="str">
        <f>HYPERLINK("https://streetviewpixels-pa.googleapis.com/v1/thumbnail?panoid=xt_F5S944Db_Bbe3tFbEAQ&amp;cb_client=search.gws-prod.gps&amp;w=408&amp;h=240&amp;yaw=88.03473&amp;pitch=0&amp;thumbfov=100", "link")</f>
        <v>link</v>
      </c>
    </row>
    <row r="2277" spans="1:4" x14ac:dyDescent="0.45">
      <c r="A2277" t="s">
        <v>2279</v>
      </c>
      <c r="B2277">
        <v>33.768323199999998</v>
      </c>
      <c r="C2277">
        <v>-118.1874064</v>
      </c>
      <c r="D2277" t="str">
        <f>HYPERLINK("https://streetviewpixels-pa.googleapis.com/v1/thumbnail?panoid=LYZYOHGpT016MmIGYyVI4A&amp;cb_client=search.gws-prod.gps&amp;w=408&amp;h=240&amp;yaw=58.526985&amp;pitch=0&amp;thumbfov=100", "link")</f>
        <v>link</v>
      </c>
    </row>
    <row r="2278" spans="1:4" x14ac:dyDescent="0.45">
      <c r="A2278" t="s">
        <v>2280</v>
      </c>
      <c r="B2278">
        <v>33.766643600000002</v>
      </c>
      <c r="C2278">
        <v>-118.19269730000001</v>
      </c>
      <c r="D2278" t="str">
        <f>HYPERLINK("https://streetviewpixels-pa.googleapis.com/v1/thumbnail?panoid=s7KV1yPdirFl2IXo5Y-3mg&amp;cb_client=search.gws-prod.gps&amp;w=408&amp;h=240&amp;yaw=211.5523&amp;pitch=0&amp;thumbfov=100", "link")</f>
        <v>link</v>
      </c>
    </row>
    <row r="2279" spans="1:4" x14ac:dyDescent="0.45">
      <c r="A2279" t="s">
        <v>2281</v>
      </c>
      <c r="B2279">
        <v>33.7663376</v>
      </c>
      <c r="C2279">
        <v>-118.1932645</v>
      </c>
      <c r="D2279" t="s">
        <v>5</v>
      </c>
    </row>
    <row r="2280" spans="1:4" x14ac:dyDescent="0.45">
      <c r="A2280" t="s">
        <v>2282</v>
      </c>
      <c r="B2280">
        <v>33.768692000000001</v>
      </c>
      <c r="C2280">
        <v>-118.1880175</v>
      </c>
      <c r="D2280" t="str">
        <f>HYPERLINK("https://streetviewpixels-pa.googleapis.com/v1/thumbnail?panoid=1U9FiWXUGrY2lqNY-M-viQ&amp;cb_client=search.gws-prod.gps&amp;w=408&amp;h=240&amp;yaw=75.60061&amp;pitch=0&amp;thumbfov=100", "link")</f>
        <v>link</v>
      </c>
    </row>
    <row r="2281" spans="1:4" x14ac:dyDescent="0.45">
      <c r="A2281" t="s">
        <v>2283</v>
      </c>
      <c r="B2281">
        <v>33.767487699999897</v>
      </c>
      <c r="C2281">
        <v>-118.1920817</v>
      </c>
      <c r="D2281" t="str">
        <f>HYPERLINK("https://lh5.googleusercontent.com/p/AF1QipNm9WcKmQroFy3yYPPuzA41G9bb7RHFQoQ5OBZ-=w408-h306-k-no", "link")</f>
        <v>link</v>
      </c>
    </row>
    <row r="2282" spans="1:4" x14ac:dyDescent="0.45">
      <c r="A2282" t="s">
        <v>2284</v>
      </c>
      <c r="B2282">
        <v>33.768467999999999</v>
      </c>
      <c r="C2282">
        <v>-118.190009</v>
      </c>
      <c r="D2282" t="str">
        <f>HYPERLINK("https://streetviewpixels-pa.googleapis.com/v1/thumbnail?panoid=nKtN_xej09g-W4JjjpYtrw&amp;cb_client=search.gws-prod.gps&amp;w=408&amp;h=240&amp;yaw=275.44388&amp;pitch=0&amp;thumbfov=100", "link")</f>
        <v>link</v>
      </c>
    </row>
    <row r="2283" spans="1:4" x14ac:dyDescent="0.45">
      <c r="A2283" t="s">
        <v>2285</v>
      </c>
      <c r="B2283">
        <v>33.761312499999903</v>
      </c>
      <c r="C2283">
        <v>-118.1868734</v>
      </c>
      <c r="D2283" t="str">
        <f>HYPERLINK("https://streetviewpixels-pa.googleapis.com/v1/thumbnail?panoid=CKtM-aJm1iieEAESTs_AkQ&amp;cb_client=search.gws-prod.gps&amp;w=408&amp;h=240&amp;yaw=142.98491&amp;pitch=0&amp;thumbfov=100", "link")</f>
        <v>link</v>
      </c>
    </row>
    <row r="2284" spans="1:4" x14ac:dyDescent="0.45">
      <c r="A2284" t="s">
        <v>2286</v>
      </c>
      <c r="B2284">
        <v>33.762044000000003</v>
      </c>
      <c r="C2284">
        <v>-118.18595259999999</v>
      </c>
      <c r="D2284" t="s">
        <v>5</v>
      </c>
    </row>
    <row r="2285" spans="1:4" x14ac:dyDescent="0.45">
      <c r="A2285" t="s">
        <v>2287</v>
      </c>
      <c r="B2285">
        <v>33.7604057</v>
      </c>
      <c r="C2285">
        <v>-118.18997419999999</v>
      </c>
      <c r="D2285" t="s">
        <v>5</v>
      </c>
    </row>
    <row r="2286" spans="1:4" x14ac:dyDescent="0.45">
      <c r="A2286" t="s">
        <v>2288</v>
      </c>
      <c r="B2286">
        <v>33.761433400000001</v>
      </c>
      <c r="C2286">
        <v>-118.1902027</v>
      </c>
      <c r="D2286" t="s">
        <v>5</v>
      </c>
    </row>
    <row r="2287" spans="1:4" x14ac:dyDescent="0.45">
      <c r="A2287" t="s">
        <v>2289</v>
      </c>
      <c r="B2287">
        <v>33.760569400000001</v>
      </c>
      <c r="C2287">
        <v>-118.1903131</v>
      </c>
      <c r="D2287" t="str">
        <f>HYPERLINK("https://lh5.googleusercontent.com/p/AF1QipO_TBvdtWbttVAyE2_TEvfle7p__0IoFjs53--H=w408-h306-k-no", "link")</f>
        <v>link</v>
      </c>
    </row>
    <row r="2288" spans="1:4" x14ac:dyDescent="0.45">
      <c r="A2288" t="s">
        <v>2290</v>
      </c>
      <c r="B2288">
        <v>33.7644989</v>
      </c>
      <c r="C2288">
        <v>-118.1857698</v>
      </c>
      <c r="D2288" t="s">
        <v>5</v>
      </c>
    </row>
    <row r="2289" spans="1:4" x14ac:dyDescent="0.45">
      <c r="A2289" t="s">
        <v>2291</v>
      </c>
      <c r="B2289">
        <v>33.764576699999999</v>
      </c>
      <c r="C2289">
        <v>-118.1861001</v>
      </c>
      <c r="D2289" t="str">
        <f>HYPERLINK("https://lh5.googleusercontent.com/p/AF1QipNsgAPtxiRh3A1ZVVhEgoemz5oPOB3f9ZhvVpPW=w408-h306-k-no", "link")</f>
        <v>link</v>
      </c>
    </row>
    <row r="2290" spans="1:4" x14ac:dyDescent="0.45">
      <c r="A2290" t="s">
        <v>2292</v>
      </c>
      <c r="B2290">
        <v>33.763492399999997</v>
      </c>
      <c r="C2290">
        <v>-118.19105399999999</v>
      </c>
      <c r="D2290" t="str">
        <f>HYPERLINK("https://streetviewpixels-pa.googleapis.com/v1/thumbnail?panoid=AOd19I8MPqW6hxwRmon26w&amp;cb_client=search.gws-prod.gps&amp;w=408&amp;h=240&amp;yaw=80.326294&amp;pitch=0&amp;thumbfov=100", "link")</f>
        <v>link</v>
      </c>
    </row>
    <row r="2291" spans="1:4" x14ac:dyDescent="0.45">
      <c r="A2291" t="s">
        <v>2293</v>
      </c>
      <c r="B2291">
        <v>33.765446799999999</v>
      </c>
      <c r="C2291">
        <v>-118.18820119999999</v>
      </c>
      <c r="D2291" t="str">
        <f>HYPERLINK("https://streetviewpixels-pa.googleapis.com/v1/thumbnail?panoid=dXsvQpS6jlnjH7va3EzIjQ&amp;cb_client=search.gws-prod.gps&amp;w=408&amp;h=240&amp;yaw=92.63455&amp;pitch=0&amp;thumbfov=100", "link")</f>
        <v>link</v>
      </c>
    </row>
    <row r="2292" spans="1:4" x14ac:dyDescent="0.45">
      <c r="A2292" t="s">
        <v>2294</v>
      </c>
      <c r="B2292">
        <v>33.763484300000002</v>
      </c>
      <c r="C2292">
        <v>-118.1915443</v>
      </c>
      <c r="D2292" t="str">
        <f>HYPERLINK("https://streetviewpixels-pa.googleapis.com/v1/thumbnail?panoid=AOd19I8MPqW6hxwRmon26w&amp;cb_client=search.gws-prod.gps&amp;w=408&amp;h=240&amp;yaw=80.326294&amp;pitch=0&amp;thumbfov=100", "link")</f>
        <v>link</v>
      </c>
    </row>
    <row r="2293" spans="1:4" x14ac:dyDescent="0.45">
      <c r="A2293" t="s">
        <v>2295</v>
      </c>
      <c r="B2293">
        <v>33.765264100000003</v>
      </c>
      <c r="C2293">
        <v>-118.1893476</v>
      </c>
      <c r="D2293" t="str">
        <f>HYPERLINK("https://lh5.googleusercontent.com/p/AF1QipMsDQtBZd5Dq6QeXUzD243tt1A73xLzuzJvNvzQ=w408-h306-k-no", "link")</f>
        <v>link</v>
      </c>
    </row>
    <row r="2294" spans="1:4" x14ac:dyDescent="0.45">
      <c r="A2294" t="s">
        <v>2296</v>
      </c>
      <c r="B2294">
        <v>33.766018199999998</v>
      </c>
      <c r="C2294">
        <v>-118.18751140000001</v>
      </c>
      <c r="D2294" t="str">
        <f>HYPERLINK("https://streetviewpixels-pa.googleapis.com/v1/thumbnail?panoid=yzdxmivW-kJQkItu_uvrbQ&amp;cb_client=search.gws-prod.gps&amp;w=408&amp;h=240&amp;yaw=156.64127&amp;pitch=0&amp;thumbfov=100", "link")</f>
        <v>link</v>
      </c>
    </row>
    <row r="2295" spans="1:4" x14ac:dyDescent="0.45">
      <c r="A2295" t="s">
        <v>2297</v>
      </c>
      <c r="B2295">
        <v>33.766281800000002</v>
      </c>
      <c r="C2295">
        <v>-118.1877666</v>
      </c>
      <c r="D2295" t="str">
        <f>HYPERLINK("https://lh5.googleusercontent.com/p/AF1QipPQmjmEuvYAHnlG2BD8yy81UyUxdc2UiOdivuT_=w426-h240-k-no", "link")</f>
        <v>link</v>
      </c>
    </row>
    <row r="2296" spans="1:4" x14ac:dyDescent="0.45">
      <c r="A2296" t="s">
        <v>2298</v>
      </c>
      <c r="B2296">
        <v>33.762143100000003</v>
      </c>
      <c r="C2296">
        <v>-118.1929069</v>
      </c>
      <c r="D2296" t="str">
        <f>HYPERLINK("https://streetviewpixels-pa.googleapis.com/v1/thumbnail?panoid=ET7A8lLinZ4R51Uwq-167Q&amp;cb_client=search.gws-prod.gps&amp;w=408&amp;h=240&amp;yaw=151.52225&amp;pitch=0&amp;thumbfov=100", "link")</f>
        <v>link</v>
      </c>
    </row>
    <row r="2297" spans="1:4" x14ac:dyDescent="0.45">
      <c r="A2297" t="s">
        <v>2299</v>
      </c>
      <c r="B2297">
        <v>33.765107700000002</v>
      </c>
      <c r="C2297">
        <v>-118.1826621</v>
      </c>
      <c r="D2297" t="s">
        <v>5</v>
      </c>
    </row>
    <row r="2298" spans="1:4" x14ac:dyDescent="0.45">
      <c r="A2298" t="s">
        <v>2300</v>
      </c>
      <c r="B2298">
        <v>33.762686500000001</v>
      </c>
      <c r="C2298">
        <v>-118.19292780000001</v>
      </c>
      <c r="D2298" t="str">
        <f>HYPERLINK("https://lh5.googleusercontent.com/p/AF1QipMedt5iK4QSTsuiPhq4I5hsrZhXutS6CTsdBzmn=w408-h306-k-no", "link")</f>
        <v>link</v>
      </c>
    </row>
    <row r="2299" spans="1:4" x14ac:dyDescent="0.45">
      <c r="A2299" t="s">
        <v>2301</v>
      </c>
      <c r="B2299">
        <v>33.766177599999999</v>
      </c>
      <c r="C2299">
        <v>-118.1899883</v>
      </c>
      <c r="D2299" t="str">
        <f>HYPERLINK("https://streetviewpixels-pa.googleapis.com/v1/thumbnail?panoid=Cyr8et7UczOSsQuZIlwnyw&amp;cb_client=search.gws-prod.gps&amp;w=408&amp;h=240&amp;yaw=61.262005&amp;pitch=0&amp;thumbfov=100", "link")</f>
        <v>link</v>
      </c>
    </row>
    <row r="2300" spans="1:4" x14ac:dyDescent="0.45">
      <c r="A2300" t="s">
        <v>2302</v>
      </c>
      <c r="B2300">
        <v>33.766384500000001</v>
      </c>
      <c r="C2300">
        <v>-118.18992230000001</v>
      </c>
      <c r="D2300" t="str">
        <f>HYPERLINK("https://lh5.googleusercontent.com/p/AF1QipOG7OkXeavIWPJNIuNJybGhXimbDF0gDGvOwQUP=w408-h544-k-no", "link")</f>
        <v>link</v>
      </c>
    </row>
    <row r="2301" spans="1:4" x14ac:dyDescent="0.45">
      <c r="A2301" t="s">
        <v>2303</v>
      </c>
      <c r="B2301">
        <v>33.766899000000002</v>
      </c>
      <c r="C2301">
        <v>-118.185675</v>
      </c>
      <c r="D2301" t="s">
        <v>5</v>
      </c>
    </row>
    <row r="2302" spans="1:4" x14ac:dyDescent="0.45">
      <c r="A2302" t="s">
        <v>2304</v>
      </c>
      <c r="B2302">
        <v>33.766671700000003</v>
      </c>
      <c r="C2302">
        <v>-118.1845039</v>
      </c>
      <c r="D2302" t="str">
        <f>HYPERLINK("https://streetviewpixels-pa.googleapis.com/v1/thumbnail?panoid=14Ygg5qFmmzizafX1-2LYw&amp;cb_client=search.gws-prod.gps&amp;w=408&amp;h=240&amp;yaw=3.0603716&amp;pitch=0&amp;thumbfov=100", "link")</f>
        <v>link</v>
      </c>
    </row>
    <row r="2303" spans="1:4" x14ac:dyDescent="0.45">
      <c r="A2303" t="s">
        <v>2305</v>
      </c>
      <c r="B2303">
        <v>33.777459499999999</v>
      </c>
      <c r="C2303">
        <v>-118.1211503</v>
      </c>
      <c r="D2303" t="s">
        <v>5</v>
      </c>
    </row>
    <row r="2304" spans="1:4" x14ac:dyDescent="0.45">
      <c r="A2304" t="s">
        <v>2306</v>
      </c>
      <c r="B2304">
        <v>33.775735699999998</v>
      </c>
      <c r="C2304">
        <v>-118.11971800000001</v>
      </c>
      <c r="D2304" t="s">
        <v>5</v>
      </c>
    </row>
    <row r="2305" spans="1:4" x14ac:dyDescent="0.45">
      <c r="A2305" t="s">
        <v>2307</v>
      </c>
      <c r="B2305">
        <v>33.782974699999997</v>
      </c>
      <c r="C2305">
        <v>-118.13374640000001</v>
      </c>
      <c r="D2305" t="str">
        <f>HYPERLINK("https://streetviewpixels-pa.googleapis.com/v1/thumbnail?panoid=C3JLQJri803ERw1KKdVe8g&amp;cb_client=search.gws-prod.gps&amp;w=408&amp;h=240&amp;yaw=220.63818&amp;pitch=0&amp;thumbfov=100", "link")</f>
        <v>link</v>
      </c>
    </row>
    <row r="2306" spans="1:4" x14ac:dyDescent="0.45">
      <c r="A2306" t="s">
        <v>2308</v>
      </c>
      <c r="B2306">
        <v>33.7832352</v>
      </c>
      <c r="C2306">
        <v>-118.133892</v>
      </c>
      <c r="D2306" t="s">
        <v>5</v>
      </c>
    </row>
    <row r="2307" spans="1:4" x14ac:dyDescent="0.45">
      <c r="A2307" t="s">
        <v>2309</v>
      </c>
      <c r="B2307">
        <v>33.760163599999899</v>
      </c>
      <c r="C2307">
        <v>-118.14632829999999</v>
      </c>
      <c r="D2307" t="s">
        <v>5</v>
      </c>
    </row>
    <row r="2308" spans="1:4" x14ac:dyDescent="0.45">
      <c r="A2308" t="s">
        <v>2310</v>
      </c>
      <c r="B2308">
        <v>33.764355999999999</v>
      </c>
      <c r="C2308">
        <v>-118.149468</v>
      </c>
      <c r="D2308" t="str">
        <f>HYPERLINK("https://lh5.googleusercontent.com/p/AF1QipMkiZWzsAq08lv__pLgdBeVTnghKWXjHNsLJ5Lc=w408-h544-k-no", "link")</f>
        <v>link</v>
      </c>
    </row>
    <row r="2309" spans="1:4" x14ac:dyDescent="0.45">
      <c r="A2309" t="s">
        <v>2311</v>
      </c>
      <c r="B2309">
        <v>33.756668500000004</v>
      </c>
      <c r="C2309">
        <v>-118.14078480000001</v>
      </c>
      <c r="D2309" t="str">
        <f>HYPERLINK("https://lh5.googleusercontent.com/p/AF1QipPjz2hOL-_e43K9wW_m1Jjb-KGp6deL5WgoH2G9=w408-h306-k-no", "link")</f>
        <v>link</v>
      </c>
    </row>
    <row r="2310" spans="1:4" x14ac:dyDescent="0.45">
      <c r="A2310" t="s">
        <v>2312</v>
      </c>
      <c r="B2310">
        <v>33.7568524</v>
      </c>
      <c r="C2310">
        <v>-118.1413379</v>
      </c>
      <c r="D2310" t="str">
        <f>HYPERLINK("https://lh5.googleusercontent.com/p/AF1QipMXz_6f8r9FEB4Kt_56ZPDgC0zbI6lLskRnNOE=w408-h544-k-no", "link")</f>
        <v>link</v>
      </c>
    </row>
    <row r="2311" spans="1:4" x14ac:dyDescent="0.45">
      <c r="A2311" t="s">
        <v>2313</v>
      </c>
      <c r="B2311">
        <v>33.7571516</v>
      </c>
      <c r="C2311">
        <v>-118.1420746</v>
      </c>
      <c r="D2311" t="s">
        <v>5</v>
      </c>
    </row>
    <row r="2312" spans="1:4" x14ac:dyDescent="0.45">
      <c r="A2312" t="s">
        <v>2314</v>
      </c>
      <c r="B2312">
        <v>33.775738400000002</v>
      </c>
      <c r="C2312">
        <v>-118.11757129999999</v>
      </c>
      <c r="D2312" t="s">
        <v>5</v>
      </c>
    </row>
    <row r="2313" spans="1:4" x14ac:dyDescent="0.45">
      <c r="A2313" t="s">
        <v>2315</v>
      </c>
      <c r="B2313">
        <v>33.755004100000001</v>
      </c>
      <c r="C2313">
        <v>-118.136132</v>
      </c>
      <c r="D2313" t="s">
        <v>5</v>
      </c>
    </row>
    <row r="2314" spans="1:4" x14ac:dyDescent="0.45">
      <c r="A2314" t="s">
        <v>2316</v>
      </c>
      <c r="B2314">
        <v>33.754917300000002</v>
      </c>
      <c r="C2314">
        <v>-118.13621430000001</v>
      </c>
      <c r="D2314" t="s">
        <v>5</v>
      </c>
    </row>
    <row r="2315" spans="1:4" x14ac:dyDescent="0.45">
      <c r="A2315" t="s">
        <v>2317</v>
      </c>
      <c r="B2315">
        <v>33.761434100000002</v>
      </c>
      <c r="C2315">
        <v>-118.1184475</v>
      </c>
      <c r="D2315" t="s">
        <v>5</v>
      </c>
    </row>
    <row r="2316" spans="1:4" x14ac:dyDescent="0.45">
      <c r="A2316" t="s">
        <v>2318</v>
      </c>
      <c r="B2316">
        <v>33.759870900000003</v>
      </c>
      <c r="C2316">
        <v>-118.1476514</v>
      </c>
      <c r="D2316" t="s">
        <v>5</v>
      </c>
    </row>
    <row r="2317" spans="1:4" x14ac:dyDescent="0.45">
      <c r="A2317" t="s">
        <v>2319</v>
      </c>
      <c r="B2317">
        <v>33.763342899999998</v>
      </c>
      <c r="C2317">
        <v>-118.1165197</v>
      </c>
      <c r="D2317" t="s">
        <v>5</v>
      </c>
    </row>
    <row r="2318" spans="1:4" x14ac:dyDescent="0.45">
      <c r="A2318" t="s">
        <v>2320</v>
      </c>
      <c r="B2318">
        <v>33.763325000000002</v>
      </c>
      <c r="C2318">
        <v>-118.11649749999999</v>
      </c>
      <c r="D2318" t="s">
        <v>5</v>
      </c>
    </row>
    <row r="2319" spans="1:4" x14ac:dyDescent="0.45">
      <c r="A2319" t="s">
        <v>2321</v>
      </c>
      <c r="B2319">
        <v>33.758671299999897</v>
      </c>
      <c r="C2319">
        <v>-118.14693750000001</v>
      </c>
      <c r="D2319" t="s">
        <v>5</v>
      </c>
    </row>
    <row r="2320" spans="1:4" x14ac:dyDescent="0.45">
      <c r="A2320" t="s">
        <v>2322</v>
      </c>
      <c r="B2320">
        <v>33.758605500000002</v>
      </c>
      <c r="C2320">
        <v>-118.14691999999999</v>
      </c>
      <c r="D2320" t="s">
        <v>5</v>
      </c>
    </row>
    <row r="2321" spans="1:4" x14ac:dyDescent="0.45">
      <c r="A2321" t="s">
        <v>2323</v>
      </c>
      <c r="B2321">
        <v>33.758681099999997</v>
      </c>
      <c r="C2321">
        <v>-118.1470327</v>
      </c>
      <c r="D2321" t="s">
        <v>5</v>
      </c>
    </row>
    <row r="2322" spans="1:4" x14ac:dyDescent="0.45">
      <c r="A2322" t="s">
        <v>2324</v>
      </c>
      <c r="B2322">
        <v>33.753530599999998</v>
      </c>
      <c r="C2322">
        <v>-118.1331624</v>
      </c>
      <c r="D2322" t="str">
        <f>HYPERLINK("https://lh5.googleusercontent.com/p/AF1QipMuzBQ65mHVGP_m3a605MYSbOfOxOOf1rwnZoNm=w408-h240-k-no-pi-20-ya258-ro0-fo100", "link")</f>
        <v>link</v>
      </c>
    </row>
    <row r="2323" spans="1:4" x14ac:dyDescent="0.45">
      <c r="A2323" t="s">
        <v>2325</v>
      </c>
      <c r="B2323">
        <v>33.769661800000002</v>
      </c>
      <c r="C2323">
        <v>-118.1334859</v>
      </c>
      <c r="D2323" t="str">
        <f>HYPERLINK("https://streetviewpixels-pa.googleapis.com/v1/thumbnail?panoid=vvzO8T8P--YcfYwkdHQvOA&amp;cb_client=search.gws-prod.gps&amp;w=408&amp;h=240&amp;yaw=278.0928&amp;pitch=0&amp;thumbfov=100", "link")</f>
        <v>link</v>
      </c>
    </row>
    <row r="2324" spans="1:4" x14ac:dyDescent="0.45">
      <c r="A2324" t="s">
        <v>2326</v>
      </c>
      <c r="B2324">
        <v>33.767646999999997</v>
      </c>
      <c r="C2324">
        <v>-118.1303262</v>
      </c>
      <c r="D2324" t="s">
        <v>5</v>
      </c>
    </row>
    <row r="2325" spans="1:4" x14ac:dyDescent="0.45">
      <c r="A2325" t="s">
        <v>2327</v>
      </c>
      <c r="B2325">
        <v>33.768623400000003</v>
      </c>
      <c r="C2325">
        <v>-118.1276747</v>
      </c>
      <c r="D2325" t="s">
        <v>5</v>
      </c>
    </row>
    <row r="2326" spans="1:4" x14ac:dyDescent="0.45">
      <c r="A2326" t="s">
        <v>2328</v>
      </c>
      <c r="B2326">
        <v>33.765782899999998</v>
      </c>
      <c r="C2326">
        <v>-118.1282329</v>
      </c>
      <c r="D2326" t="s">
        <v>5</v>
      </c>
    </row>
    <row r="2327" spans="1:4" x14ac:dyDescent="0.45">
      <c r="A2327" t="s">
        <v>2329</v>
      </c>
      <c r="B2327">
        <v>33.765618000000003</v>
      </c>
      <c r="C2327">
        <v>-118.1281319</v>
      </c>
      <c r="D2327" t="s">
        <v>5</v>
      </c>
    </row>
    <row r="2328" spans="1:4" x14ac:dyDescent="0.45">
      <c r="A2328" t="s">
        <v>2330</v>
      </c>
      <c r="B2328">
        <v>33.763419799999902</v>
      </c>
      <c r="C2328">
        <v>-118.1347664</v>
      </c>
      <c r="D2328" t="str">
        <f>HYPERLINK("https://streetviewpixels-pa.googleapis.com/v1/thumbnail?panoid=NRPibEuUUntMP7uxaX35Rw&amp;cb_client=search.gws-prod.gps&amp;w=408&amp;h=240&amp;yaw=221.6082&amp;pitch=0&amp;thumbfov=100", "link")</f>
        <v>link</v>
      </c>
    </row>
    <row r="2329" spans="1:4" x14ac:dyDescent="0.45">
      <c r="A2329" t="s">
        <v>2331</v>
      </c>
      <c r="B2329">
        <v>33.761381999999998</v>
      </c>
      <c r="C2329">
        <v>-118.13573390000001</v>
      </c>
      <c r="D2329" t="str">
        <f>HYPERLINK("https://streetviewpixels-pa.googleapis.com/v1/thumbnail?panoid=xzQUo59w1hhs_Ba2MYC3Kg&amp;cb_client=search.gws-prod.gps&amp;w=408&amp;h=240&amp;yaw=323.148&amp;pitch=0&amp;thumbfov=100", "link")</f>
        <v>link</v>
      </c>
    </row>
    <row r="2330" spans="1:4" x14ac:dyDescent="0.45">
      <c r="A2330" t="s">
        <v>2332</v>
      </c>
      <c r="B2330">
        <v>33.760580900000001</v>
      </c>
      <c r="C2330">
        <v>-118.1349803</v>
      </c>
      <c r="D2330" t="str">
        <f>HYPERLINK("https://streetviewpixels-pa.googleapis.com/v1/thumbnail?panoid=YCYnbGUk5qCXEthTh4ldqQ&amp;cb_client=search.gws-prod.gps&amp;w=408&amp;h=240&amp;yaw=22.123463&amp;pitch=0&amp;thumbfov=100", "link")</f>
        <v>link</v>
      </c>
    </row>
    <row r="2331" spans="1:4" x14ac:dyDescent="0.45">
      <c r="A2331" t="s">
        <v>2333</v>
      </c>
      <c r="B2331">
        <v>33.761457800000002</v>
      </c>
      <c r="C2331">
        <v>-118.13865749999999</v>
      </c>
      <c r="D2331" t="str">
        <f>HYPERLINK("https://streetviewpixels-pa.googleapis.com/v1/thumbnail?panoid=8AElFMv5Xy96vst8-VUy5Q&amp;cb_client=search.gws-prod.gps&amp;w=408&amp;h=240&amp;yaw=209.41583&amp;pitch=0&amp;thumbfov=100", "link")</f>
        <v>link</v>
      </c>
    </row>
    <row r="2332" spans="1:4" x14ac:dyDescent="0.45">
      <c r="A2332" t="s">
        <v>2334</v>
      </c>
      <c r="B2332">
        <v>33.760379700000001</v>
      </c>
      <c r="C2332">
        <v>-118.133776</v>
      </c>
      <c r="D2332" t="str">
        <f>HYPERLINK("https://streetviewpixels-pa.googleapis.com/v1/thumbnail?panoid=btJCRFs071085bRWWPc3QQ&amp;cb_client=search.gws-prod.gps&amp;w=408&amp;h=240&amp;yaw=325.99695&amp;pitch=0&amp;thumbfov=100", "link")</f>
        <v>link</v>
      </c>
    </row>
    <row r="2333" spans="1:4" x14ac:dyDescent="0.45">
      <c r="A2333" t="s">
        <v>2335</v>
      </c>
      <c r="B2333">
        <v>33.760400799999999</v>
      </c>
      <c r="C2333">
        <v>-118.1365946</v>
      </c>
      <c r="D2333" t="str">
        <f>HYPERLINK("https://streetviewpixels-pa.googleapis.com/v1/thumbnail?panoid=dbhLuq26olqaOkSt1b1SJA&amp;cb_client=search.gws-prod.gps&amp;w=408&amp;h=240&amp;yaw=115.63486&amp;pitch=0&amp;thumbfov=100", "link")</f>
        <v>link</v>
      </c>
    </row>
    <row r="2334" spans="1:4" x14ac:dyDescent="0.45">
      <c r="A2334" t="s">
        <v>2336</v>
      </c>
      <c r="B2334">
        <v>33.764371699999998</v>
      </c>
      <c r="C2334">
        <v>-118.1237431</v>
      </c>
      <c r="D2334" t="s">
        <v>5</v>
      </c>
    </row>
    <row r="2335" spans="1:4" x14ac:dyDescent="0.45">
      <c r="A2335" t="s">
        <v>2337</v>
      </c>
      <c r="B2335">
        <v>33.759509600000001</v>
      </c>
      <c r="C2335">
        <v>-118.1345129</v>
      </c>
      <c r="D2335" t="str">
        <f>HYPERLINK("https://streetviewpixels-pa.googleapis.com/v1/thumbnail?panoid=-WBkC7OrStInnJUY2si1aQ&amp;cb_client=search.gws-prod.gps&amp;w=408&amp;h=240&amp;yaw=107.38883&amp;pitch=0&amp;thumbfov=100", "link")</f>
        <v>link</v>
      </c>
    </row>
    <row r="2336" spans="1:4" x14ac:dyDescent="0.45">
      <c r="A2336" t="s">
        <v>2338</v>
      </c>
      <c r="B2336">
        <v>33.758729000000002</v>
      </c>
      <c r="C2336">
        <v>-118.13264820000001</v>
      </c>
      <c r="D2336" t="str">
        <f>HYPERLINK("https://streetviewpixels-pa.googleapis.com/v1/thumbnail?panoid=lHRyGXlVoDtx14l0z5jNVw&amp;cb_client=search.gws-prod.gps&amp;w=408&amp;h=240&amp;yaw=291.40308&amp;pitch=0&amp;thumbfov=100", "link")</f>
        <v>link</v>
      </c>
    </row>
    <row r="2337" spans="1:4" x14ac:dyDescent="0.45">
      <c r="A2337" t="s">
        <v>2339</v>
      </c>
      <c r="B2337">
        <v>33.758256600000003</v>
      </c>
      <c r="C2337">
        <v>-118.1315403</v>
      </c>
      <c r="D2337" t="str">
        <f>HYPERLINK("https://streetviewpixels-pa.googleapis.com/v1/thumbnail?panoid=Ow6-OTcxGvgKQRNfE-SjhA&amp;cb_client=search.gws-prod.gps&amp;w=408&amp;h=240&amp;yaw=194.07184&amp;pitch=0&amp;thumbfov=100", "link")</f>
        <v>link</v>
      </c>
    </row>
    <row r="2338" spans="1:4" x14ac:dyDescent="0.45">
      <c r="A2338" t="s">
        <v>2340</v>
      </c>
      <c r="B2338">
        <v>33.758114399999897</v>
      </c>
      <c r="C2338">
        <v>-118.1305512</v>
      </c>
      <c r="D2338" t="str">
        <f>HYPERLINK("https://streetviewpixels-pa.googleapis.com/v1/thumbnail?panoid=U6rtqWslP5_6kG1rnl4PWw&amp;cb_client=search.gws-prod.gps&amp;w=408&amp;h=240&amp;yaw=301.3904&amp;pitch=0&amp;thumbfov=100", "link")</f>
        <v>link</v>
      </c>
    </row>
    <row r="2339" spans="1:4" x14ac:dyDescent="0.45">
      <c r="A2339" t="s">
        <v>2341</v>
      </c>
      <c r="B2339">
        <v>33.762618600000003</v>
      </c>
      <c r="C2339">
        <v>-118.1217316</v>
      </c>
      <c r="D2339" t="s">
        <v>5</v>
      </c>
    </row>
    <row r="2340" spans="1:4" x14ac:dyDescent="0.45">
      <c r="A2340" t="s">
        <v>2342</v>
      </c>
      <c r="B2340">
        <v>33.7757553</v>
      </c>
      <c r="C2340">
        <v>-118.1205684</v>
      </c>
      <c r="D2340" t="s">
        <v>5</v>
      </c>
    </row>
    <row r="2341" spans="1:4" x14ac:dyDescent="0.45">
      <c r="A2341" t="s">
        <v>2343</v>
      </c>
      <c r="B2341">
        <v>33.760659099999998</v>
      </c>
      <c r="C2341">
        <v>-118.12299179999999</v>
      </c>
      <c r="D2341" t="s">
        <v>5</v>
      </c>
    </row>
    <row r="2342" spans="1:4" x14ac:dyDescent="0.45">
      <c r="A2342" t="s">
        <v>2344</v>
      </c>
      <c r="B2342">
        <v>33.760666499999999</v>
      </c>
      <c r="C2342">
        <v>-118.12296600000001</v>
      </c>
      <c r="D2342" t="s">
        <v>5</v>
      </c>
    </row>
    <row r="2343" spans="1:4" x14ac:dyDescent="0.45">
      <c r="A2343" t="s">
        <v>2345</v>
      </c>
      <c r="B2343">
        <v>33.768922400000001</v>
      </c>
      <c r="C2343">
        <v>-118.1897178</v>
      </c>
      <c r="D2343" t="str">
        <f>HYPERLINK("https://streetviewpixels-pa.googleapis.com/v1/thumbnail?panoid=YbyXT3fdUG3gMaGKw0WHaw&amp;cb_client=search.gws-prod.gps&amp;w=408&amp;h=240&amp;yaw=170.60335&amp;pitch=0&amp;thumbfov=100", "link")</f>
        <v>link</v>
      </c>
    </row>
    <row r="2344" spans="1:4" x14ac:dyDescent="0.45">
      <c r="A2344" t="s">
        <v>2346</v>
      </c>
      <c r="B2344">
        <v>33.768789699999999</v>
      </c>
      <c r="C2344">
        <v>-118.1900124</v>
      </c>
      <c r="D2344" t="str">
        <f>HYPERLINK("https://streetviewpixels-pa.googleapis.com/v1/thumbnail?panoid=kBaaHtyym1Mg-2hQfrEa1Q&amp;cb_client=search.gws-prod.gps&amp;w=408&amp;h=240&amp;yaw=272.7959&amp;pitch=0&amp;thumbfov=100", "link")</f>
        <v>link</v>
      </c>
    </row>
    <row r="2345" spans="1:4" x14ac:dyDescent="0.45">
      <c r="A2345" t="s">
        <v>2347</v>
      </c>
      <c r="B2345">
        <v>33.769748499999999</v>
      </c>
      <c r="C2345">
        <v>-118.1844335</v>
      </c>
      <c r="D2345" t="str">
        <f>HYPERLINK("https://streetviewpixels-pa.googleapis.com/v1/thumbnail?panoid=3WqUEpYMnpm7ne2e7LHoXw&amp;cb_client=search.gws-prod.gps&amp;w=408&amp;h=240&amp;yaw=255.08446&amp;pitch=0&amp;thumbfov=100", "link")</f>
        <v>link</v>
      </c>
    </row>
    <row r="2346" spans="1:4" x14ac:dyDescent="0.45">
      <c r="A2346" t="s">
        <v>2348</v>
      </c>
      <c r="B2346">
        <v>33.769933999999999</v>
      </c>
      <c r="C2346">
        <v>-118.1874273</v>
      </c>
      <c r="D2346" t="str">
        <f>HYPERLINK("https://lh5.googleusercontent.com/p/AF1QipOuXA1_9UfOUrnMowwMtp1hjHTzt-4yIZURidDJ=w533-h240-k-no", "link")</f>
        <v>link</v>
      </c>
    </row>
    <row r="2347" spans="1:4" x14ac:dyDescent="0.45">
      <c r="A2347" t="s">
        <v>2349</v>
      </c>
      <c r="B2347">
        <v>33.769596</v>
      </c>
      <c r="C2347">
        <v>-118.1832047</v>
      </c>
      <c r="D2347" t="str">
        <f>HYPERLINK("https://streetviewpixels-pa.googleapis.com/v1/thumbnail?panoid=hSa7wl7zijJvHj_w8IqHmA&amp;cb_client=search.gws-prod.gps&amp;w=408&amp;h=240&amp;yaw=301.22382&amp;pitch=0&amp;thumbfov=100", "link")</f>
        <v>link</v>
      </c>
    </row>
    <row r="2348" spans="1:4" x14ac:dyDescent="0.45">
      <c r="A2348" t="s">
        <v>2350</v>
      </c>
      <c r="B2348">
        <v>33.7735123</v>
      </c>
      <c r="C2348">
        <v>-118.19147270000001</v>
      </c>
      <c r="D2348" t="str">
        <f>HYPERLINK("https://streetviewpixels-pa.googleapis.com/v1/thumbnail?panoid=pZ1qXvqUGYz-8PtGM_VEfA&amp;cb_client=search.gws-prod.gps&amp;w=408&amp;h=240&amp;yaw=16.312185&amp;pitch=0&amp;thumbfov=100", "link")</f>
        <v>link</v>
      </c>
    </row>
    <row r="2349" spans="1:4" x14ac:dyDescent="0.45">
      <c r="A2349" t="s">
        <v>2351</v>
      </c>
      <c r="B2349">
        <v>33.769908099999903</v>
      </c>
      <c r="C2349">
        <v>-118.1930026</v>
      </c>
      <c r="D2349" t="str">
        <f>HYPERLINK("https://streetviewpixels-pa.googleapis.com/v1/thumbnail?panoid=DNgiRzuJn9pq2Aw7xCNnSQ&amp;cb_client=search.gws-prod.gps&amp;w=408&amp;h=240&amp;yaw=269.70938&amp;pitch=0&amp;thumbfov=100", "link")</f>
        <v>link</v>
      </c>
    </row>
    <row r="2350" spans="1:4" x14ac:dyDescent="0.45">
      <c r="A2350" t="s">
        <v>2352</v>
      </c>
      <c r="B2350">
        <v>33.771584599999997</v>
      </c>
      <c r="C2350">
        <v>-118.1932838</v>
      </c>
      <c r="D2350" t="str">
        <f>HYPERLINK("https://streetviewpixels-pa.googleapis.com/v1/thumbnail?panoid=xTKvMts_oOi3GFKOZ9veWg&amp;cb_client=search.gws-prod.gps&amp;w=408&amp;h=240&amp;yaw=223.23433&amp;pitch=0&amp;thumbfov=100", "link")</f>
        <v>link</v>
      </c>
    </row>
    <row r="2351" spans="1:4" x14ac:dyDescent="0.45">
      <c r="A2351" t="s">
        <v>2353</v>
      </c>
      <c r="B2351">
        <v>33.771335899999897</v>
      </c>
      <c r="C2351">
        <v>-118.1933315</v>
      </c>
      <c r="D2351" t="str">
        <f>HYPERLINK("https://streetviewpixels-pa.googleapis.com/v1/thumbnail?panoid=OsIyOP7y1cst_cQe07pZMA&amp;cb_client=search.gws-prod.gps&amp;w=408&amp;h=240&amp;yaw=95.392426&amp;pitch=0&amp;thumbfov=100", "link")</f>
        <v>link</v>
      </c>
    </row>
    <row r="2352" spans="1:4" x14ac:dyDescent="0.45">
      <c r="A2352" t="s">
        <v>2354</v>
      </c>
      <c r="B2352">
        <v>33.770674100000001</v>
      </c>
      <c r="C2352">
        <v>-118.1933585</v>
      </c>
      <c r="D2352" t="str">
        <f>HYPERLINK("https://streetviewpixels-pa.googleapis.com/v1/thumbnail?panoid=GICUQBNQaVIKBf8Vg1vQ6w&amp;cb_client=search.gws-prod.gps&amp;w=408&amp;h=240&amp;yaw=2.3029234&amp;pitch=0&amp;thumbfov=100", "link")</f>
        <v>link</v>
      </c>
    </row>
    <row r="2353" spans="1:4" x14ac:dyDescent="0.45">
      <c r="A2353" t="s">
        <v>2355</v>
      </c>
      <c r="B2353">
        <v>33.7685058</v>
      </c>
      <c r="C2353">
        <v>-118.19200739999999</v>
      </c>
      <c r="D2353" t="str">
        <f>HYPERLINK("https://streetviewpixels-pa.googleapis.com/v1/thumbnail?panoid=GF33HbtsU6Ryt3OMzNQ8Nw&amp;cb_client=search.gws-prod.gps&amp;w=408&amp;h=240&amp;yaw=63.181873&amp;pitch=0&amp;thumbfov=100", "link")</f>
        <v>link</v>
      </c>
    </row>
    <row r="2354" spans="1:4" x14ac:dyDescent="0.45">
      <c r="A2354" t="s">
        <v>2356</v>
      </c>
      <c r="B2354">
        <v>33.768934299999998</v>
      </c>
      <c r="C2354">
        <v>-118.1926704</v>
      </c>
      <c r="D2354" t="str">
        <f>HYPERLINK("https://streetviewpixels-pa.googleapis.com/v1/thumbnail?panoid=kYGd5ui0n62G0FOzUpBtqw&amp;cb_client=search.gws-prod.gps&amp;w=408&amp;h=240&amp;yaw=163.28812&amp;pitch=0&amp;thumbfov=100", "link")</f>
        <v>link</v>
      </c>
    </row>
    <row r="2355" spans="1:4" x14ac:dyDescent="0.45">
      <c r="A2355" t="s">
        <v>2357</v>
      </c>
      <c r="B2355">
        <v>33.768881499999999</v>
      </c>
      <c r="C2355">
        <v>-118.1926605</v>
      </c>
      <c r="D2355" t="str">
        <f>HYPERLINK("https://streetviewpixels-pa.googleapis.com/v1/thumbnail?panoid=kYGd5ui0n62G0FOzUpBtqw&amp;cb_client=search.gws-prod.gps&amp;w=408&amp;h=240&amp;yaw=163.28812&amp;pitch=0&amp;thumbfov=100", "link")</f>
        <v>link</v>
      </c>
    </row>
    <row r="2356" spans="1:4" x14ac:dyDescent="0.45">
      <c r="A2356" t="s">
        <v>2358</v>
      </c>
      <c r="B2356">
        <v>33.772604000000001</v>
      </c>
      <c r="C2356">
        <v>-118.19331579999999</v>
      </c>
      <c r="D2356" t="str">
        <f>HYPERLINK("https://streetviewpixels-pa.googleapis.com/v1/thumbnail?panoid=wFCRKP87sFV1p7i7iXn5lw&amp;cb_client=search.gws-prod.gps&amp;w=408&amp;h=240&amp;yaw=280.35062&amp;pitch=0&amp;thumbfov=100", "link")</f>
        <v>link</v>
      </c>
    </row>
    <row r="2357" spans="1:4" x14ac:dyDescent="0.45">
      <c r="A2357" t="s">
        <v>2359</v>
      </c>
      <c r="B2357">
        <v>33.773977299999999</v>
      </c>
      <c r="C2357">
        <v>-118.19179699999999</v>
      </c>
      <c r="D2357" t="str">
        <f>HYPERLINK("https://streetviewpixels-pa.googleapis.com/v1/thumbnail?panoid=47Q0PpkLl5fvdw7FTFdAfw&amp;cb_client=search.gws-prod.gps&amp;w=408&amp;h=240&amp;yaw=206.88414&amp;pitch=0&amp;thumbfov=100", "link")</f>
        <v>link</v>
      </c>
    </row>
    <row r="2358" spans="1:4" x14ac:dyDescent="0.45">
      <c r="A2358" t="s">
        <v>2360</v>
      </c>
      <c r="B2358">
        <v>33.771381899999902</v>
      </c>
      <c r="C2358">
        <v>-118.1941309</v>
      </c>
      <c r="D2358" t="str">
        <f>HYPERLINK("https://streetviewpixels-pa.googleapis.com/v1/thumbnail?panoid=HMzs4LS8tQ6jY5ffLqT75Q&amp;cb_client=search.gws-prod.gps&amp;w=408&amp;h=240&amp;yaw=77.24956&amp;pitch=0&amp;thumbfov=100", "link")</f>
        <v>link</v>
      </c>
    </row>
    <row r="2359" spans="1:4" x14ac:dyDescent="0.45">
      <c r="A2359" t="s">
        <v>2361</v>
      </c>
      <c r="B2359">
        <v>33.768388600000002</v>
      </c>
      <c r="C2359">
        <v>-118.1928777</v>
      </c>
      <c r="D2359" t="str">
        <f>HYPERLINK("https://streetviewpixels-pa.googleapis.com/v1/thumbnail?panoid=ysmfyzdD27TzscVyiOiasg&amp;cb_client=search.gws-prod.gps&amp;w=408&amp;h=240&amp;yaw=310.28186&amp;pitch=0&amp;thumbfov=100", "link")</f>
        <v>link</v>
      </c>
    </row>
    <row r="2360" spans="1:4" x14ac:dyDescent="0.45">
      <c r="A2360" t="s">
        <v>2362</v>
      </c>
      <c r="B2360">
        <v>33.774388600000002</v>
      </c>
      <c r="C2360">
        <v>-118.1873934</v>
      </c>
      <c r="D2360" t="str">
        <f>HYPERLINK("https://streetviewpixels-pa.googleapis.com/v1/thumbnail?panoid=DGXcniAnsosUIFzcIAnXUA&amp;cb_client=search.gws-prod.gps&amp;w=408&amp;h=240&amp;yaw=102.92254&amp;pitch=0&amp;thumbfov=100", "link")</f>
        <v>link</v>
      </c>
    </row>
    <row r="2361" spans="1:4" x14ac:dyDescent="0.45">
      <c r="A2361" t="s">
        <v>2363</v>
      </c>
      <c r="B2361">
        <v>33.773263499999999</v>
      </c>
      <c r="C2361">
        <v>-118.19344959999999</v>
      </c>
      <c r="D2361" t="str">
        <f>HYPERLINK("https://streetviewpixels-pa.googleapis.com/v1/thumbnail?panoid=JUVp8g5N6VdJuPrcFGpZLQ&amp;cb_client=search.gws-prod.gps&amp;w=408&amp;h=240&amp;yaw=95.037224&amp;pitch=0&amp;thumbfov=100", "link")</f>
        <v>link</v>
      </c>
    </row>
    <row r="2362" spans="1:4" x14ac:dyDescent="0.45">
      <c r="A2362" t="s">
        <v>2364</v>
      </c>
      <c r="B2362">
        <v>33.771047600000003</v>
      </c>
      <c r="C2362">
        <v>-118.189668</v>
      </c>
      <c r="D2362" t="str">
        <f>HYPERLINK("https://streetviewpixels-pa.googleapis.com/v1/thumbnail?panoid=BqpUyrT2moru_zR-0D0SyQ&amp;cb_client=search.gws-prod.gps&amp;w=408&amp;h=240&amp;yaw=278.60867&amp;pitch=0&amp;thumbfov=100", "link")</f>
        <v>link</v>
      </c>
    </row>
    <row r="2363" spans="1:4" x14ac:dyDescent="0.45">
      <c r="A2363" t="s">
        <v>2365</v>
      </c>
      <c r="B2363">
        <v>33.770011099999998</v>
      </c>
      <c r="C2363">
        <v>-118.18960250000001</v>
      </c>
      <c r="D2363" t="str">
        <f>HYPERLINK("https://streetviewpixels-pa.googleapis.com/v1/thumbnail?panoid=mZcX8snGk-XZa6lTNoaaKA&amp;cb_client=search.gws-prod.gps&amp;w=408&amp;h=240&amp;yaw=313.10703&amp;pitch=0&amp;thumbfov=100", "link")</f>
        <v>link</v>
      </c>
    </row>
    <row r="2364" spans="1:4" x14ac:dyDescent="0.45">
      <c r="A2364" t="s">
        <v>2366</v>
      </c>
      <c r="B2364">
        <v>33.770770499999998</v>
      </c>
      <c r="C2364">
        <v>-118.1910695</v>
      </c>
      <c r="D2364" t="str">
        <f>HYPERLINK("https://streetviewpixels-pa.googleapis.com/v1/thumbnail?panoid=mGvNxl0R8E5nJGT3IGvXnQ&amp;cb_client=search.gws-prod.gps&amp;w=408&amp;h=240&amp;yaw=24.330587&amp;pitch=0&amp;thumbfov=100", "link")</f>
        <v>link</v>
      </c>
    </row>
    <row r="2365" spans="1:4" x14ac:dyDescent="0.45">
      <c r="A2365" t="s">
        <v>2367</v>
      </c>
      <c r="B2365">
        <v>33.769944899999999</v>
      </c>
      <c r="C2365">
        <v>-118.1903581</v>
      </c>
      <c r="D2365" t="str">
        <f>HYPERLINK("https://streetviewpixels-pa.googleapis.com/v1/thumbnail?panoid=NP4ohHioL2W92ckJO27uCg&amp;cb_client=search.gws-prod.gps&amp;w=408&amp;h=240&amp;yaw=75.443054&amp;pitch=0&amp;thumbfov=100", "link")</f>
        <v>link</v>
      </c>
    </row>
    <row r="2366" spans="1:4" x14ac:dyDescent="0.45">
      <c r="A2366" t="s">
        <v>2368</v>
      </c>
      <c r="B2366">
        <v>33.770770400000004</v>
      </c>
      <c r="C2366">
        <v>-118.19159399999999</v>
      </c>
      <c r="D2366" t="str">
        <f>HYPERLINK("https://streetviewpixels-pa.googleapis.com/v1/thumbnail?panoid=mGvNxl0R8E5nJGT3IGvXnQ&amp;cb_client=search.gws-prod.gps&amp;w=408&amp;h=240&amp;yaw=24.330587&amp;pitch=0&amp;thumbfov=100", "link")</f>
        <v>link</v>
      </c>
    </row>
    <row r="2367" spans="1:4" x14ac:dyDescent="0.45">
      <c r="A2367" t="s">
        <v>2369</v>
      </c>
      <c r="B2367">
        <v>33.770177999999902</v>
      </c>
      <c r="C2367">
        <v>-118.188016</v>
      </c>
      <c r="D2367" t="str">
        <f>HYPERLINK("https://streetviewpixels-pa.googleapis.com/v1/thumbnail?panoid=wVZ1pQKFNnhzAJIKK2La_A&amp;cb_client=search.gws-prod.gps&amp;w=408&amp;h=240&amp;yaw=272.6798&amp;pitch=0&amp;thumbfov=100", "link")</f>
        <v>link</v>
      </c>
    </row>
    <row r="2368" spans="1:4" x14ac:dyDescent="0.45">
      <c r="A2368" t="s">
        <v>2370</v>
      </c>
      <c r="B2368">
        <v>33.770864000000003</v>
      </c>
      <c r="C2368">
        <v>-118.191622</v>
      </c>
      <c r="D2368" t="str">
        <f>HYPERLINK("https://streetviewpixels-pa.googleapis.com/v1/thumbnail?panoid=mGvNxl0R8E5nJGT3IGvXnQ&amp;cb_client=search.gws-prod.gps&amp;w=408&amp;h=240&amp;yaw=24.330587&amp;pitch=0&amp;thumbfov=100", "link")</f>
        <v>link</v>
      </c>
    </row>
    <row r="2369" spans="1:4" x14ac:dyDescent="0.45">
      <c r="A2369" t="s">
        <v>2371</v>
      </c>
      <c r="B2369">
        <v>33.769507899999901</v>
      </c>
      <c r="C2369">
        <v>-118.1903638</v>
      </c>
      <c r="D2369" t="str">
        <f>HYPERLINK("https://streetviewpixels-pa.googleapis.com/v1/thumbnail?panoid=n11wk6pEwzpy7SYdNjltTA&amp;cb_client=search.gws-prod.gps&amp;w=408&amp;h=240&amp;yaw=352.73038&amp;pitch=0&amp;thumbfov=100", "link")</f>
        <v>link</v>
      </c>
    </row>
    <row r="2370" spans="1:4" x14ac:dyDescent="0.45">
      <c r="A2370" t="s">
        <v>2372</v>
      </c>
      <c r="B2370">
        <v>33.770825100000003</v>
      </c>
      <c r="C2370">
        <v>-118.1918328</v>
      </c>
      <c r="D2370" t="str">
        <f>HYPERLINK("https://streetviewpixels-pa.googleapis.com/v1/thumbnail?panoid=bhw0JtIFVjo1d6MLhAMQSw&amp;cb_client=search.gws-prod.gps&amp;w=408&amp;h=240&amp;yaw=88.63137&amp;pitch=0&amp;thumbfov=100", "link")</f>
        <v>link</v>
      </c>
    </row>
    <row r="2371" spans="1:4" x14ac:dyDescent="0.45">
      <c r="A2371" t="s">
        <v>2373</v>
      </c>
      <c r="B2371">
        <v>33.770950900000003</v>
      </c>
      <c r="C2371">
        <v>-118.192091</v>
      </c>
      <c r="D2371" t="str">
        <f>HYPERLINK("https://streetviewpixels-pa.googleapis.com/v1/thumbnail?panoid=bhw0JtIFVjo1d6MLhAMQSw&amp;cb_client=search.gws-prod.gps&amp;w=408&amp;h=240&amp;yaw=88.63137&amp;pitch=0&amp;thumbfov=100", "link")</f>
        <v>link</v>
      </c>
    </row>
    <row r="2372" spans="1:4" x14ac:dyDescent="0.45">
      <c r="A2372" t="s">
        <v>2374</v>
      </c>
      <c r="B2372">
        <v>33.769184099999997</v>
      </c>
      <c r="C2372">
        <v>-118.1907621</v>
      </c>
      <c r="D2372" t="str">
        <f>HYPERLINK("https://streetviewpixels-pa.googleapis.com/v1/thumbnail?panoid=mmRQkbT32Ki_naaUGlzBdA&amp;cb_client=search.gws-prod.gps&amp;w=408&amp;h=240&amp;yaw=109.88493&amp;pitch=0&amp;thumbfov=100", "link")</f>
        <v>link</v>
      </c>
    </row>
    <row r="2373" spans="1:4" x14ac:dyDescent="0.45">
      <c r="A2373" t="s">
        <v>2375</v>
      </c>
      <c r="B2373">
        <v>33.7723678999999</v>
      </c>
      <c r="C2373">
        <v>-118.1916646</v>
      </c>
      <c r="D2373" t="str">
        <f>HYPERLINK("https://streetviewpixels-pa.googleapis.com/v1/thumbnail?panoid=HU4DTX4cUcERtIOoRPX8oA&amp;cb_client=search.gws-prod.gps&amp;w=408&amp;h=240&amp;yaw=131.82079&amp;pitch=0&amp;thumbfov=100", "link")</f>
        <v>link</v>
      </c>
    </row>
    <row r="2374" spans="1:4" x14ac:dyDescent="0.45">
      <c r="A2374" t="s">
        <v>2376</v>
      </c>
      <c r="B2374">
        <v>33.773183199999998</v>
      </c>
      <c r="C2374">
        <v>-118.1886488</v>
      </c>
      <c r="D2374" t="s">
        <v>5</v>
      </c>
    </row>
    <row r="2375" spans="1:4" x14ac:dyDescent="0.45">
      <c r="A2375" t="s">
        <v>2377</v>
      </c>
      <c r="B2375">
        <v>33.773297200000002</v>
      </c>
      <c r="C2375">
        <v>-118.1885118</v>
      </c>
      <c r="D2375" t="s">
        <v>5</v>
      </c>
    </row>
    <row r="2376" spans="1:4" x14ac:dyDescent="0.45">
      <c r="A2376" t="s">
        <v>2378</v>
      </c>
      <c r="B2376">
        <v>33.769423699999997</v>
      </c>
      <c r="C2376">
        <v>-118.191889</v>
      </c>
      <c r="D2376" t="str">
        <f>HYPERLINK("https://streetviewpixels-pa.googleapis.com/v1/thumbnail?panoid=6t8jX15AW90qWLjm44UPtA&amp;cb_client=search.gws-prod.gps&amp;w=408&amp;h=240&amp;yaw=86.952675&amp;pitch=0&amp;thumbfov=100", "link")</f>
        <v>link</v>
      </c>
    </row>
    <row r="2377" spans="1:4" x14ac:dyDescent="0.45">
      <c r="A2377" t="s">
        <v>2379</v>
      </c>
      <c r="B2377">
        <v>33.7690901</v>
      </c>
      <c r="C2377">
        <v>-118.19148559999999</v>
      </c>
      <c r="D2377" t="str">
        <f>HYPERLINK("https://streetviewpixels-pa.googleapis.com/v1/thumbnail?panoid=iEt9XHb9S7TtToejpSG4mg&amp;cb_client=search.gws-prod.gps&amp;w=408&amp;h=240&amp;yaw=190.89807&amp;pitch=0&amp;thumbfov=100", "link")</f>
        <v>link</v>
      </c>
    </row>
    <row r="2378" spans="1:4" x14ac:dyDescent="0.45">
      <c r="A2378" t="s">
        <v>2380</v>
      </c>
      <c r="B2378">
        <v>33.785894599999999</v>
      </c>
      <c r="C2378">
        <v>-118.1157511</v>
      </c>
      <c r="D2378" t="s">
        <v>5</v>
      </c>
    </row>
    <row r="2379" spans="1:4" x14ac:dyDescent="0.45">
      <c r="A2379" t="s">
        <v>2381</v>
      </c>
      <c r="B2379">
        <v>33.784783099999999</v>
      </c>
      <c r="C2379">
        <v>-118.1164339</v>
      </c>
      <c r="D2379" t="s">
        <v>5</v>
      </c>
    </row>
    <row r="2380" spans="1:4" x14ac:dyDescent="0.45">
      <c r="A2380" t="s">
        <v>2382</v>
      </c>
      <c r="B2380">
        <v>33.784770799999997</v>
      </c>
      <c r="C2380">
        <v>-118.1164327</v>
      </c>
      <c r="D2380" t="s">
        <v>5</v>
      </c>
    </row>
    <row r="2381" spans="1:4" x14ac:dyDescent="0.45">
      <c r="A2381" t="s">
        <v>2383</v>
      </c>
      <c r="B2381">
        <v>33.786546299999898</v>
      </c>
      <c r="C2381">
        <v>-118.1174175</v>
      </c>
      <c r="D2381" t="str">
        <f>HYPERLINK("https://streetviewpixels-pa.googleapis.com/v1/thumbnail?panoid=MC9r81x9ZsAyk7mOfS-u8Q&amp;cb_client=search.gws-prod.gps&amp;w=408&amp;h=240&amp;yaw=348.57883&amp;pitch=0&amp;thumbfov=100", "link")</f>
        <v>link</v>
      </c>
    </row>
    <row r="2382" spans="1:4" x14ac:dyDescent="0.45">
      <c r="A2382" t="s">
        <v>2384</v>
      </c>
      <c r="B2382">
        <v>33.786623599999999</v>
      </c>
      <c r="C2382">
        <v>-118.1175442</v>
      </c>
      <c r="D2382" t="s">
        <v>5</v>
      </c>
    </row>
    <row r="2383" spans="1:4" x14ac:dyDescent="0.45">
      <c r="A2383" t="s">
        <v>2385</v>
      </c>
      <c r="B2383">
        <v>33.787650999999997</v>
      </c>
      <c r="C2383">
        <v>-118.1157043</v>
      </c>
      <c r="D2383" t="s">
        <v>5</v>
      </c>
    </row>
    <row r="2384" spans="1:4" x14ac:dyDescent="0.45">
      <c r="A2384" t="s">
        <v>2386</v>
      </c>
      <c r="B2384">
        <v>33.786618900000001</v>
      </c>
      <c r="C2384">
        <v>-118.11763929999999</v>
      </c>
      <c r="D2384" t="s">
        <v>5</v>
      </c>
    </row>
    <row r="2385" spans="1:4" x14ac:dyDescent="0.45">
      <c r="A2385" t="s">
        <v>2387</v>
      </c>
      <c r="B2385">
        <v>33.787691799999997</v>
      </c>
      <c r="C2385">
        <v>-118.11571170000001</v>
      </c>
      <c r="D2385" t="s">
        <v>5</v>
      </c>
    </row>
    <row r="2386" spans="1:4" x14ac:dyDescent="0.45">
      <c r="A2386" t="s">
        <v>2388</v>
      </c>
      <c r="B2386">
        <v>33.785430599999998</v>
      </c>
      <c r="C2386">
        <v>-118.1183424</v>
      </c>
      <c r="D2386" t="s">
        <v>5</v>
      </c>
    </row>
    <row r="2387" spans="1:4" x14ac:dyDescent="0.45">
      <c r="A2387" t="s">
        <v>2389</v>
      </c>
      <c r="B2387">
        <v>33.7879541</v>
      </c>
      <c r="C2387">
        <v>-118.1175485</v>
      </c>
      <c r="D2387" t="s">
        <v>5</v>
      </c>
    </row>
    <row r="2388" spans="1:4" x14ac:dyDescent="0.45">
      <c r="A2388" t="s">
        <v>2390</v>
      </c>
      <c r="B2388">
        <v>33.783486699999997</v>
      </c>
      <c r="C2388">
        <v>-118.11663710000001</v>
      </c>
      <c r="D2388" t="s">
        <v>5</v>
      </c>
    </row>
    <row r="2389" spans="1:4" x14ac:dyDescent="0.45">
      <c r="A2389" t="s">
        <v>2391</v>
      </c>
      <c r="B2389">
        <v>33.784340399999998</v>
      </c>
      <c r="C2389">
        <v>-118.118396</v>
      </c>
      <c r="D2389" t="s">
        <v>5</v>
      </c>
    </row>
    <row r="2390" spans="1:4" x14ac:dyDescent="0.45">
      <c r="A2390" t="s">
        <v>2392</v>
      </c>
      <c r="B2390">
        <v>33.785870699999997</v>
      </c>
      <c r="C2390">
        <v>-118.1192636</v>
      </c>
      <c r="D2390" t="s">
        <v>5</v>
      </c>
    </row>
    <row r="2391" spans="1:4" x14ac:dyDescent="0.45">
      <c r="A2391" t="s">
        <v>2393</v>
      </c>
      <c r="B2391">
        <v>33.782898799999998</v>
      </c>
      <c r="C2391">
        <v>-118.1172055</v>
      </c>
      <c r="D2391" t="s">
        <v>5</v>
      </c>
    </row>
    <row r="2392" spans="1:4" x14ac:dyDescent="0.45">
      <c r="A2392" t="s">
        <v>2394</v>
      </c>
      <c r="B2392">
        <v>33.783654900000002</v>
      </c>
      <c r="C2392">
        <v>-118.1126793</v>
      </c>
      <c r="D2392" t="s">
        <v>5</v>
      </c>
    </row>
    <row r="2393" spans="1:4" x14ac:dyDescent="0.45">
      <c r="A2393" t="s">
        <v>2395</v>
      </c>
      <c r="B2393">
        <v>33.783593799999998</v>
      </c>
      <c r="C2393">
        <v>-118.1126012</v>
      </c>
      <c r="D2393" t="s">
        <v>5</v>
      </c>
    </row>
    <row r="2394" spans="1:4" x14ac:dyDescent="0.45">
      <c r="A2394" t="s">
        <v>2396</v>
      </c>
      <c r="B2394">
        <v>33.7842536</v>
      </c>
      <c r="C2394">
        <v>-118.11178580000001</v>
      </c>
      <c r="D2394" t="str">
        <f>HYPERLINK("https://streetviewpixels-pa.googleapis.com/v1/thumbnail?panoid=LFK2qhR47DskMMo1GA7a9A&amp;cb_client=search.gws-prod.gps&amp;w=408&amp;h=240&amp;yaw=234.42067&amp;pitch=0&amp;thumbfov=100", "link")</f>
        <v>link</v>
      </c>
    </row>
    <row r="2395" spans="1:4" x14ac:dyDescent="0.45">
      <c r="A2395" t="s">
        <v>2397</v>
      </c>
      <c r="B2395">
        <v>33.7824545</v>
      </c>
      <c r="C2395">
        <v>-118.11399729999999</v>
      </c>
      <c r="D2395" t="s">
        <v>5</v>
      </c>
    </row>
    <row r="2396" spans="1:4" x14ac:dyDescent="0.45">
      <c r="A2396" t="s">
        <v>2398</v>
      </c>
      <c r="B2396">
        <v>33.782865200000003</v>
      </c>
      <c r="C2396">
        <v>-118.1188057</v>
      </c>
      <c r="D2396" t="s">
        <v>5</v>
      </c>
    </row>
    <row r="2397" spans="1:4" x14ac:dyDescent="0.45">
      <c r="A2397" t="s">
        <v>2399</v>
      </c>
      <c r="B2397">
        <v>33.787837199999998</v>
      </c>
      <c r="C2397">
        <v>-118.1105943</v>
      </c>
      <c r="D2397" t="s">
        <v>5</v>
      </c>
    </row>
    <row r="2398" spans="1:4" x14ac:dyDescent="0.45">
      <c r="A2398" t="s">
        <v>2400</v>
      </c>
      <c r="B2398">
        <v>33.7682784</v>
      </c>
      <c r="C2398">
        <v>-118.1931294</v>
      </c>
      <c r="D2398" t="str">
        <f>HYPERLINK("https://streetviewpixels-pa.googleapis.com/v1/thumbnail?panoid=yBh2tImN8ypO7z3cdeWvcg&amp;cb_client=search.gws-prod.gps&amp;w=408&amp;h=240&amp;yaw=89.33165&amp;pitch=0&amp;thumbfov=100", "link")</f>
        <v>link</v>
      </c>
    </row>
    <row r="2399" spans="1:4" x14ac:dyDescent="0.45">
      <c r="A2399" t="s">
        <v>2401</v>
      </c>
      <c r="B2399">
        <v>33.768392499999997</v>
      </c>
      <c r="C2399">
        <v>-118.1935369</v>
      </c>
      <c r="D2399" t="str">
        <f>HYPERLINK("https://streetviewpixels-pa.googleapis.com/v1/thumbnail?panoid=yBh2tImN8ypO7z3cdeWvcg&amp;cb_client=search.gws-prod.gps&amp;w=408&amp;h=240&amp;yaw=89.33165&amp;pitch=0&amp;thumbfov=100", "link")</f>
        <v>link</v>
      </c>
    </row>
    <row r="2400" spans="1:4" x14ac:dyDescent="0.45">
      <c r="A2400" t="s">
        <v>2402</v>
      </c>
      <c r="B2400">
        <v>33.767587800000001</v>
      </c>
      <c r="C2400">
        <v>-118.19302279999999</v>
      </c>
      <c r="D2400" t="str">
        <f>HYPERLINK("https://lh5.googleusercontent.com/p/AF1QipPWrVMenqtcVcRUcyCPiXXUiXjN87xxfxYYvkST=w408-h259-k-no", "link")</f>
        <v>link</v>
      </c>
    </row>
    <row r="2401" spans="1:4" x14ac:dyDescent="0.45">
      <c r="A2401" t="s">
        <v>2403</v>
      </c>
      <c r="B2401">
        <v>33.769157</v>
      </c>
      <c r="C2401">
        <v>-118.1953566</v>
      </c>
      <c r="D2401" t="str">
        <f>HYPERLINK("https://lh5.googleusercontent.com/p/AF1QipMo5M0xf30EK6rVWHjkxWvYSLpj0pOFbGa8q18s=w408-h544-k-no", "link")</f>
        <v>link</v>
      </c>
    </row>
    <row r="2402" spans="1:4" x14ac:dyDescent="0.45">
      <c r="A2402" t="s">
        <v>2404</v>
      </c>
      <c r="B2402">
        <v>33.7788258</v>
      </c>
      <c r="C2402">
        <v>-118.1596043</v>
      </c>
      <c r="D2402" t="str">
        <f>HYPERLINK("https://streetviewpixels-pa.googleapis.com/v1/thumbnail?panoid=HeQvvtWbGV49hF92YbZsuA&amp;cb_client=search.gws-prod.gps&amp;w=408&amp;h=240&amp;yaw=162.8169&amp;pitch=0&amp;thumbfov=100", "link")</f>
        <v>link</v>
      </c>
    </row>
    <row r="2403" spans="1:4" x14ac:dyDescent="0.45">
      <c r="A2403" t="s">
        <v>2405</v>
      </c>
      <c r="B2403">
        <v>33.775068699999999</v>
      </c>
      <c r="C2403">
        <v>-118.1539994</v>
      </c>
      <c r="D2403" t="str">
        <f>HYPERLINK("https://streetviewpixels-pa.googleapis.com/v1/thumbnail?panoid=JJRCaEqWqF1gqcAuyhUZSw&amp;cb_client=search.gws-prod.gps&amp;w=408&amp;h=240&amp;yaw=269.2931&amp;pitch=0&amp;thumbfov=100", "link")</f>
        <v>link</v>
      </c>
    </row>
    <row r="2404" spans="1:4" x14ac:dyDescent="0.45">
      <c r="A2404" t="s">
        <v>2406</v>
      </c>
      <c r="B2404">
        <v>33.7723084</v>
      </c>
      <c r="C2404">
        <v>-118.1669533</v>
      </c>
      <c r="D2404" t="str">
        <f>HYPERLINK("https://streetviewpixels-pa.googleapis.com/v1/thumbnail?panoid=KDS7xi8L3FXOQtm0gBXVwQ&amp;cb_client=search.gws-prod.gps&amp;w=408&amp;h=240&amp;yaw=269.38483&amp;pitch=0&amp;thumbfov=100", "link")</f>
        <v>link</v>
      </c>
    </row>
    <row r="2405" spans="1:4" x14ac:dyDescent="0.45">
      <c r="A2405" t="s">
        <v>2407</v>
      </c>
      <c r="B2405">
        <v>33.771507499999998</v>
      </c>
      <c r="C2405">
        <v>-118.1673515</v>
      </c>
      <c r="D2405" t="s">
        <v>5</v>
      </c>
    </row>
    <row r="2406" spans="1:4" x14ac:dyDescent="0.45">
      <c r="A2406" t="s">
        <v>2408</v>
      </c>
      <c r="B2406">
        <v>33.771354899999999</v>
      </c>
      <c r="C2406">
        <v>-118.16917530000001</v>
      </c>
      <c r="D2406" t="str">
        <f>HYPERLINK("https://streetviewpixels-pa.googleapis.com/v1/thumbnail?panoid=I_N7OaPW0jofFtfr3WhSlw&amp;cb_client=search.gws-prod.gps&amp;w=408&amp;h=240&amp;yaw=189.28806&amp;pitch=0&amp;thumbfov=100", "link")</f>
        <v>link</v>
      </c>
    </row>
    <row r="2407" spans="1:4" x14ac:dyDescent="0.45">
      <c r="A2407" t="s">
        <v>2409</v>
      </c>
      <c r="B2407">
        <v>33.7685818</v>
      </c>
      <c r="C2407">
        <v>-118.1651348</v>
      </c>
      <c r="D2407" t="str">
        <f>HYPERLINK("https://streetviewpixels-pa.googleapis.com/v1/thumbnail?panoid=ezlbGWJaRPexNOUtdWHX-w&amp;cb_client=search.gws-prod.gps&amp;w=408&amp;h=240&amp;yaw=16.247965&amp;pitch=0&amp;thumbfov=100", "link")</f>
        <v>link</v>
      </c>
    </row>
    <row r="2408" spans="1:4" x14ac:dyDescent="0.45">
      <c r="A2408" t="s">
        <v>2410</v>
      </c>
      <c r="B2408">
        <v>33.768183499999999</v>
      </c>
      <c r="C2408">
        <v>-118.164796</v>
      </c>
      <c r="D2408" t="str">
        <f>HYPERLINK("https://streetviewpixels-pa.googleapis.com/v1/thumbnail?panoid=ezlbGWJaRPexNOUtdWHX-w&amp;cb_client=search.gws-prod.gps&amp;w=408&amp;h=240&amp;yaw=16.247965&amp;pitch=0&amp;thumbfov=100", "link")</f>
        <v>link</v>
      </c>
    </row>
    <row r="2409" spans="1:4" x14ac:dyDescent="0.45">
      <c r="A2409" t="s">
        <v>2411</v>
      </c>
      <c r="B2409">
        <v>33.763848500000002</v>
      </c>
      <c r="C2409">
        <v>-118.1660809</v>
      </c>
      <c r="D2409" t="str">
        <f>HYPERLINK("https://lh5.googleusercontent.com/p/AF1QipOPzf_ej3vSt9ErYvQKxFIs430TYUwvpJ1dx9_S=w408-h306-k-no", "link")</f>
        <v>link</v>
      </c>
    </row>
    <row r="2410" spans="1:4" x14ac:dyDescent="0.45">
      <c r="A2410" t="s">
        <v>2412</v>
      </c>
      <c r="B2410">
        <v>33.764161100000003</v>
      </c>
      <c r="C2410">
        <v>-118.15211789999999</v>
      </c>
      <c r="D2410" t="str">
        <f>HYPERLINK("https://streetviewpixels-pa.googleapis.com/v1/thumbnail?panoid=ZH3yKk9LU-4CSMQ1DxJNXA&amp;cb_client=search.gws-prod.gps&amp;w=408&amp;h=240&amp;yaw=153.60335&amp;pitch=0&amp;thumbfov=100", "link")</f>
        <v>link</v>
      </c>
    </row>
    <row r="2411" spans="1:4" x14ac:dyDescent="0.45">
      <c r="A2411" t="s">
        <v>2413</v>
      </c>
      <c r="B2411">
        <v>33.763704799999999</v>
      </c>
      <c r="C2411">
        <v>-118.1659346</v>
      </c>
      <c r="D2411" t="s">
        <v>5</v>
      </c>
    </row>
    <row r="2412" spans="1:4" x14ac:dyDescent="0.45">
      <c r="A2412" t="s">
        <v>2414</v>
      </c>
      <c r="B2412">
        <v>33.771591100000002</v>
      </c>
      <c r="C2412">
        <v>-118.1770451</v>
      </c>
      <c r="D2412" t="str">
        <f>HYPERLINK("https://streetviewpixels-pa.googleapis.com/v1/thumbnail?panoid=By7OXfM4Xu7xbPJTMsVgwQ&amp;cb_client=search.gws-prod.gps&amp;w=408&amp;h=240&amp;yaw=20.102585&amp;pitch=0&amp;thumbfov=100", "link")</f>
        <v>link</v>
      </c>
    </row>
    <row r="2413" spans="1:4" x14ac:dyDescent="0.45">
      <c r="A2413" t="s">
        <v>2415</v>
      </c>
      <c r="B2413">
        <v>33.762496400000003</v>
      </c>
      <c r="C2413">
        <v>-118.1582605</v>
      </c>
      <c r="D2413" t="str">
        <f>HYPERLINK("https://lh5.googleusercontent.com/p/AF1QipMA9co3Z3MrWcCUro7XQtGeA1oN9mynWxeZnrE_=w426-h240-k-no", "link")</f>
        <v>link</v>
      </c>
    </row>
    <row r="2414" spans="1:4" x14ac:dyDescent="0.45">
      <c r="A2414" t="s">
        <v>2416</v>
      </c>
      <c r="B2414">
        <v>33.7626706</v>
      </c>
      <c r="C2414">
        <v>-118.165569</v>
      </c>
      <c r="D2414" t="s">
        <v>5</v>
      </c>
    </row>
    <row r="2415" spans="1:4" x14ac:dyDescent="0.45">
      <c r="A2415" t="s">
        <v>2417</v>
      </c>
      <c r="B2415">
        <v>33.792452500000003</v>
      </c>
      <c r="C2415">
        <v>-118.1722876</v>
      </c>
      <c r="D2415" t="s">
        <v>5</v>
      </c>
    </row>
    <row r="2416" spans="1:4" x14ac:dyDescent="0.45">
      <c r="A2416" t="s">
        <v>2418</v>
      </c>
      <c r="B2416">
        <v>33.764685900000003</v>
      </c>
      <c r="C2416">
        <v>-118.1721962</v>
      </c>
      <c r="D2416" t="s">
        <v>5</v>
      </c>
    </row>
    <row r="2417" spans="1:4" x14ac:dyDescent="0.45">
      <c r="A2417" t="s">
        <v>2419</v>
      </c>
      <c r="B2417">
        <v>33.764455099999999</v>
      </c>
      <c r="C2417">
        <v>-118.17183060000001</v>
      </c>
      <c r="D2417" t="s">
        <v>5</v>
      </c>
    </row>
    <row r="2418" spans="1:4" x14ac:dyDescent="0.45">
      <c r="A2418" t="s">
        <v>2420</v>
      </c>
      <c r="B2418">
        <v>33.744826199999999</v>
      </c>
      <c r="C2418">
        <v>-118.1172888</v>
      </c>
      <c r="D2418" t="s">
        <v>5</v>
      </c>
    </row>
    <row r="2419" spans="1:4" x14ac:dyDescent="0.45">
      <c r="A2419" t="s">
        <v>2421</v>
      </c>
      <c r="B2419">
        <v>33.744894799999898</v>
      </c>
      <c r="C2419">
        <v>-118.11727380000001</v>
      </c>
      <c r="D2419" t="s">
        <v>5</v>
      </c>
    </row>
    <row r="2420" spans="1:4" x14ac:dyDescent="0.45">
      <c r="A2420" t="s">
        <v>2422</v>
      </c>
      <c r="B2420">
        <v>33.7450744</v>
      </c>
      <c r="C2420">
        <v>-118.11711409999999</v>
      </c>
      <c r="D2420" t="s">
        <v>5</v>
      </c>
    </row>
    <row r="2421" spans="1:4" x14ac:dyDescent="0.45">
      <c r="A2421" t="s">
        <v>2423</v>
      </c>
      <c r="B2421">
        <v>33.745466399999998</v>
      </c>
      <c r="C2421">
        <v>-118.1174798</v>
      </c>
      <c r="D2421" t="s">
        <v>5</v>
      </c>
    </row>
    <row r="2422" spans="1:4" x14ac:dyDescent="0.45">
      <c r="A2422" t="s">
        <v>2424</v>
      </c>
      <c r="B2422">
        <v>33.742787499999999</v>
      </c>
      <c r="C2422">
        <v>-118.11400519999999</v>
      </c>
      <c r="D2422" t="str">
        <f>HYPERLINK("https://lh5.googleusercontent.com/p/AF1QipOsVENN-mCkBpcRN_GIJvhHkNXSuRKf9XbdNx-Q=w408-h240-k-no-pi-20-ya335-ro-0-fo100", "link")</f>
        <v>link</v>
      </c>
    </row>
    <row r="2423" spans="1:4" x14ac:dyDescent="0.45">
      <c r="A2423" t="s">
        <v>2425</v>
      </c>
      <c r="B2423">
        <v>33.753909200000002</v>
      </c>
      <c r="C2423">
        <v>-118.11583400000001</v>
      </c>
      <c r="D2423" t="s">
        <v>5</v>
      </c>
    </row>
    <row r="2424" spans="1:4" x14ac:dyDescent="0.45">
      <c r="A2424" t="s">
        <v>2426</v>
      </c>
      <c r="B2424">
        <v>33.739679600000002</v>
      </c>
      <c r="C2424">
        <v>-118.1070557</v>
      </c>
      <c r="D2424" t="s">
        <v>5</v>
      </c>
    </row>
    <row r="2425" spans="1:4" x14ac:dyDescent="0.45">
      <c r="A2425" t="s">
        <v>2427</v>
      </c>
      <c r="B2425">
        <v>33.739697700000001</v>
      </c>
      <c r="C2425">
        <v>-118.106909</v>
      </c>
      <c r="D2425" t="s">
        <v>5</v>
      </c>
    </row>
    <row r="2426" spans="1:4" x14ac:dyDescent="0.45">
      <c r="A2426" t="s">
        <v>2428</v>
      </c>
      <c r="B2426">
        <v>33.753028399999998</v>
      </c>
      <c r="C2426">
        <v>-118.1086605</v>
      </c>
      <c r="D2426" t="str">
        <f>HYPERLINK("https://lh5.googleusercontent.com/p/AF1QipOU-rtMP2EaEaNBoE83nqGxcqaTsgSzE7jz00ty=w408-h306-k-no", "link")</f>
        <v>link</v>
      </c>
    </row>
    <row r="2427" spans="1:4" x14ac:dyDescent="0.45">
      <c r="A2427" t="s">
        <v>2429</v>
      </c>
      <c r="B2427">
        <v>33.739088700000003</v>
      </c>
      <c r="C2427">
        <v>-118.105867</v>
      </c>
      <c r="D2427" t="s">
        <v>5</v>
      </c>
    </row>
    <row r="2428" spans="1:4" x14ac:dyDescent="0.45">
      <c r="A2428" t="s">
        <v>2430</v>
      </c>
      <c r="B2428">
        <v>33.7575833</v>
      </c>
      <c r="C2428">
        <v>-118.1199943</v>
      </c>
      <c r="D2428" t="s">
        <v>5</v>
      </c>
    </row>
    <row r="2429" spans="1:4" x14ac:dyDescent="0.45">
      <c r="A2429" t="s">
        <v>2431</v>
      </c>
      <c r="B2429">
        <v>33.757726499999997</v>
      </c>
      <c r="C2429">
        <v>-118.11983050000001</v>
      </c>
      <c r="D2429" t="s">
        <v>5</v>
      </c>
    </row>
    <row r="2430" spans="1:4" x14ac:dyDescent="0.45">
      <c r="A2430" t="s">
        <v>2432</v>
      </c>
      <c r="B2430">
        <v>33.752873200000003</v>
      </c>
      <c r="C2430">
        <v>-118.130852</v>
      </c>
      <c r="D2430" t="s">
        <v>5</v>
      </c>
    </row>
    <row r="2431" spans="1:4" x14ac:dyDescent="0.45">
      <c r="A2431" t="s">
        <v>2433</v>
      </c>
      <c r="B2431">
        <v>33.7529191</v>
      </c>
      <c r="C2431">
        <v>-118.13098170000001</v>
      </c>
      <c r="D2431" t="s">
        <v>5</v>
      </c>
    </row>
    <row r="2432" spans="1:4" x14ac:dyDescent="0.45">
      <c r="A2432" t="s">
        <v>2434</v>
      </c>
      <c r="B2432">
        <v>33.758327299999998</v>
      </c>
      <c r="C2432">
        <v>-118.1120536</v>
      </c>
      <c r="D2432" t="str">
        <f>HYPERLINK("https://streetviewpixels-pa.googleapis.com/v1/thumbnail?panoid=pAfYAdgMNvdtuYC5ML9zcg&amp;cb_client=search.gws-prod.gps&amp;w=408&amp;h=240&amp;yaw=134.57031&amp;pitch=0&amp;thumbfov=100", "link")</f>
        <v>link</v>
      </c>
    </row>
    <row r="2433" spans="1:4" x14ac:dyDescent="0.45">
      <c r="A2433" t="s">
        <v>2435</v>
      </c>
      <c r="B2433">
        <v>33.753290999999997</v>
      </c>
      <c r="C2433">
        <v>-118.1326577</v>
      </c>
      <c r="D2433" t="str">
        <f>HYPERLINK("https://lh5.googleusercontent.com/p/AF1QipMuzBQ65mHVGP_m3a605MYSbOfOxOOf1rwnZoNm=w408-h240-k-no-pi-20-ya258-ro0-fo100", "link")</f>
        <v>link</v>
      </c>
    </row>
    <row r="2434" spans="1:4" x14ac:dyDescent="0.45">
      <c r="A2434" t="s">
        <v>2436</v>
      </c>
      <c r="B2434">
        <v>33.7533174</v>
      </c>
      <c r="C2434">
        <v>-118.1327294</v>
      </c>
      <c r="D2434" t="str">
        <f>HYPERLINK("https://lh5.googleusercontent.com/p/AF1QipMuzBQ65mHVGP_m3a605MYSbOfOxOOf1rwnZoNm=w408-h240-k-no-pi-20-ya258-ro0-fo100", "link")</f>
        <v>link</v>
      </c>
    </row>
    <row r="2435" spans="1:4" x14ac:dyDescent="0.45">
      <c r="A2435" t="s">
        <v>2437</v>
      </c>
      <c r="B2435">
        <v>33.7418385</v>
      </c>
      <c r="C2435">
        <v>-118.09813990000001</v>
      </c>
      <c r="D2435" t="s">
        <v>5</v>
      </c>
    </row>
    <row r="2436" spans="1:4" x14ac:dyDescent="0.45">
      <c r="A2436" t="s">
        <v>2438</v>
      </c>
      <c r="B2436">
        <v>33.764964399999997</v>
      </c>
      <c r="C2436">
        <v>-118.1960521</v>
      </c>
      <c r="D2436" t="s">
        <v>5</v>
      </c>
    </row>
    <row r="2437" spans="1:4" x14ac:dyDescent="0.45">
      <c r="A2437" t="s">
        <v>2439</v>
      </c>
      <c r="B2437">
        <v>33.765287499999999</v>
      </c>
      <c r="C2437">
        <v>-118.1965134</v>
      </c>
      <c r="D2437" t="s">
        <v>5</v>
      </c>
    </row>
    <row r="2438" spans="1:4" x14ac:dyDescent="0.45">
      <c r="A2438" t="s">
        <v>2440</v>
      </c>
      <c r="B2438">
        <v>33.765726299999997</v>
      </c>
      <c r="C2438">
        <v>-118.1966267</v>
      </c>
      <c r="D2438" t="str">
        <f>HYPERLINK("https://lh5.googleusercontent.com/p/AF1QipPPwFqDzW5KiZhvdZTSRBt-AFphz9iXWKBopmF9=w408-h306-k-no", "link")</f>
        <v>link</v>
      </c>
    </row>
    <row r="2439" spans="1:4" x14ac:dyDescent="0.45">
      <c r="A2439" t="s">
        <v>2441</v>
      </c>
      <c r="B2439">
        <v>33.765979600000001</v>
      </c>
      <c r="C2439">
        <v>-118.1952059</v>
      </c>
      <c r="D2439" t="str">
        <f>HYPERLINK("https://streetviewpixels-pa.googleapis.com/v1/thumbnail?panoid=n_6zHgMFQwEzliLalD87cQ&amp;cb_client=search.gws-prod.gps&amp;w=408&amp;h=240&amp;yaw=220.42892&amp;pitch=0&amp;thumbfov=100", "link")</f>
        <v>link</v>
      </c>
    </row>
    <row r="2440" spans="1:4" x14ac:dyDescent="0.45">
      <c r="A2440" t="s">
        <v>2442</v>
      </c>
      <c r="B2440">
        <v>33.769920399999997</v>
      </c>
      <c r="C2440">
        <v>-118.18149099999999</v>
      </c>
      <c r="D2440" t="str">
        <f>HYPERLINK("https://streetviewpixels-pa.googleapis.com/v1/thumbnail?panoid=z59Qhx1NThJa0dHTXTFq4A&amp;cb_client=search.gws-prod.gps&amp;w=408&amp;h=240&amp;yaw=83.05133&amp;pitch=0&amp;thumbfov=100", "link")</f>
        <v>link</v>
      </c>
    </row>
    <row r="2441" spans="1:4" x14ac:dyDescent="0.45">
      <c r="A2441" t="s">
        <v>2443</v>
      </c>
      <c r="B2441">
        <v>33.780046899999903</v>
      </c>
      <c r="C2441">
        <v>-118.18533410000001</v>
      </c>
      <c r="D2441" t="str">
        <f>HYPERLINK("https://streetviewpixels-pa.googleapis.com/v1/thumbnail?panoid=yFb9Y_8WCnTF7OzCMDvJwA&amp;cb_client=search.gws-prod.gps&amp;w=408&amp;h=240&amp;yaw=220.58961&amp;pitch=0&amp;thumbfov=100", "link")</f>
        <v>link</v>
      </c>
    </row>
    <row r="2442" spans="1:4" x14ac:dyDescent="0.45">
      <c r="A2442" t="s">
        <v>2444</v>
      </c>
      <c r="B2442">
        <v>33.780272400000001</v>
      </c>
      <c r="C2442">
        <v>-118.18532399999999</v>
      </c>
      <c r="D2442" t="str">
        <f>HYPERLINK("https://streetviewpixels-pa.googleapis.com/v1/thumbnail?panoid=yFb9Y_8WCnTF7OzCMDvJwA&amp;cb_client=search.gws-prod.gps&amp;w=408&amp;h=240&amp;yaw=220.58961&amp;pitch=0&amp;thumbfov=100", "link")</f>
        <v>link</v>
      </c>
    </row>
    <row r="2443" spans="1:4" x14ac:dyDescent="0.45">
      <c r="A2443" t="s">
        <v>2445</v>
      </c>
      <c r="B2443">
        <v>33.777179099999998</v>
      </c>
      <c r="C2443">
        <v>-118.18822230000001</v>
      </c>
      <c r="D2443" t="s">
        <v>5</v>
      </c>
    </row>
    <row r="2444" spans="1:4" x14ac:dyDescent="0.45">
      <c r="A2444" t="s">
        <v>2446</v>
      </c>
      <c r="B2444">
        <v>33.7761067</v>
      </c>
      <c r="C2444">
        <v>-118.1868338</v>
      </c>
      <c r="D2444" t="str">
        <f>HYPERLINK("https://streetviewpixels-pa.googleapis.com/v1/thumbnail?panoid=2jaelfMXXiVKuCu07Vbvmg&amp;cb_client=search.gws-prod.gps&amp;w=408&amp;h=240&amp;yaw=78.54351&amp;pitch=0&amp;thumbfov=100", "link")</f>
        <v>link</v>
      </c>
    </row>
    <row r="2445" spans="1:4" x14ac:dyDescent="0.45">
      <c r="A2445" t="s">
        <v>2447</v>
      </c>
      <c r="B2445">
        <v>33.775718699999999</v>
      </c>
      <c r="C2445">
        <v>-118.18614169999999</v>
      </c>
      <c r="D2445" t="str">
        <f>HYPERLINK("https://streetviewpixels-pa.googleapis.com/v1/thumbnail?panoid=FawQl9-E_x0Lpd45BlylSg&amp;cb_client=search.gws-prod.gps&amp;w=408&amp;h=240&amp;yaw=357.43558&amp;pitch=0&amp;thumbfov=100", "link")</f>
        <v>link</v>
      </c>
    </row>
    <row r="2446" spans="1:4" x14ac:dyDescent="0.45">
      <c r="A2446" t="s">
        <v>2448</v>
      </c>
      <c r="B2446">
        <v>33.774880899999999</v>
      </c>
      <c r="C2446">
        <v>-118.1847774</v>
      </c>
      <c r="D2446" t="str">
        <f>HYPERLINK("https://streetviewpixels-pa.googleapis.com/v1/thumbnail?panoid=kLko6GqbTQfh9767StumJw&amp;cb_client=search.gws-prod.gps&amp;w=408&amp;h=240&amp;yaw=93.12478&amp;pitch=0&amp;thumbfov=100", "link")</f>
        <v>link</v>
      </c>
    </row>
    <row r="2447" spans="1:4" x14ac:dyDescent="0.45">
      <c r="A2447" t="s">
        <v>2449</v>
      </c>
      <c r="B2447">
        <v>33.775672999999998</v>
      </c>
      <c r="C2447">
        <v>-118.1817073</v>
      </c>
      <c r="D2447" t="str">
        <f>HYPERLINK("https://streetviewpixels-pa.googleapis.com/v1/thumbnail?panoid=GsmtXPnNKdkQQLRr55ovFg&amp;cb_client=search.gws-prod.gps&amp;w=408&amp;h=240&amp;yaw=73.88031&amp;pitch=0&amp;thumbfov=100", "link")</f>
        <v>link</v>
      </c>
    </row>
    <row r="2448" spans="1:4" x14ac:dyDescent="0.45">
      <c r="A2448" t="s">
        <v>2450</v>
      </c>
      <c r="B2448">
        <v>33.770353900000003</v>
      </c>
      <c r="C2448">
        <v>-118.1976682</v>
      </c>
      <c r="D2448" t="str">
        <f>HYPERLINK("https://streetviewpixels-pa.googleapis.com/v1/thumbnail?panoid=Vih6nQjqE0hY-RtXVg0uNA&amp;cb_client=search.gws-prod.gps&amp;w=408&amp;h=240&amp;yaw=160.35762&amp;pitch=0&amp;thumbfov=100", "link")</f>
        <v>link</v>
      </c>
    </row>
    <row r="2449" spans="1:4" x14ac:dyDescent="0.45">
      <c r="A2449" t="s">
        <v>2451</v>
      </c>
      <c r="B2449">
        <v>33.769811099999998</v>
      </c>
      <c r="C2449">
        <v>-118.1980915</v>
      </c>
      <c r="D2449" t="str">
        <f>HYPERLINK("https://lh5.googleusercontent.com/p/AF1QipOjzZVoc8f8e0kEEilL8aI2dQwBSvxFUcfBgmFC=w426-h240-k-no", "link")</f>
        <v>link</v>
      </c>
    </row>
    <row r="2450" spans="1:4" x14ac:dyDescent="0.45">
      <c r="A2450" t="s">
        <v>2452</v>
      </c>
      <c r="B2450">
        <v>33.770803999999998</v>
      </c>
      <c r="C2450">
        <v>-118.19608049999999</v>
      </c>
      <c r="D2450" t="str">
        <f>HYPERLINK("https://streetviewpixels-pa.googleapis.com/v1/thumbnail?panoid=g2PSnsVBbIx59puvhPjltg&amp;cb_client=search.gws-prod.gps&amp;w=408&amp;h=240&amp;yaw=170.19626&amp;pitch=0&amp;thumbfov=100", "link")</f>
        <v>link</v>
      </c>
    </row>
    <row r="2451" spans="1:4" x14ac:dyDescent="0.45">
      <c r="A2451" t="s">
        <v>2453</v>
      </c>
      <c r="B2451">
        <v>34.100788899999998</v>
      </c>
      <c r="C2451">
        <v>-118.3296445</v>
      </c>
      <c r="D2451" t="s">
        <v>5</v>
      </c>
    </row>
    <row r="2452" spans="1:4" x14ac:dyDescent="0.45">
      <c r="A2452" t="s">
        <v>2454</v>
      </c>
      <c r="B2452">
        <v>34.101774599999999</v>
      </c>
      <c r="C2452">
        <v>-118.32921140000001</v>
      </c>
      <c r="D2452" t="str">
        <f>HYPERLINK("https://streetviewpixels-pa.googleapis.com/v1/thumbnail?panoid=1KoCY7xOpKzR8vmhANuGUw&amp;cb_client=search.gws-prod.gps&amp;w=408&amp;h=240&amp;yaw=2.6754673&amp;pitch=0&amp;thumbfov=100", "link")</f>
        <v>link</v>
      </c>
    </row>
    <row r="2453" spans="1:4" x14ac:dyDescent="0.45">
      <c r="A2453" t="s">
        <v>2455</v>
      </c>
      <c r="B2453">
        <v>34.102273699999898</v>
      </c>
      <c r="C2453">
        <v>-118.32915610000001</v>
      </c>
      <c r="D2453" t="str">
        <f>HYPERLINK("https://streetviewpixels-pa.googleapis.com/v1/thumbnail?panoid=cg8IFZctreNdFG_ig7bGuw&amp;cb_client=search.gws-prod.gps&amp;w=408&amp;h=240&amp;yaw=81.78297&amp;pitch=0&amp;thumbfov=100", "link")</f>
        <v>link</v>
      </c>
    </row>
    <row r="2454" spans="1:4" x14ac:dyDescent="0.45">
      <c r="A2454" t="s">
        <v>2456</v>
      </c>
      <c r="B2454">
        <v>34.100632400000002</v>
      </c>
      <c r="C2454">
        <v>-118.3355737</v>
      </c>
      <c r="D2454" t="s">
        <v>5</v>
      </c>
    </row>
    <row r="2455" spans="1:4" x14ac:dyDescent="0.45">
      <c r="A2455" t="s">
        <v>2457</v>
      </c>
      <c r="B2455">
        <v>34.102562599999999</v>
      </c>
      <c r="C2455">
        <v>-118.3291511</v>
      </c>
      <c r="D2455" t="str">
        <f>HYPERLINK("https://streetviewpixels-pa.googleapis.com/v1/thumbnail?panoid=NP4QDUc1wMgqE8KhJneEAw&amp;cb_client=search.gws-prod.gps&amp;w=408&amp;h=240&amp;yaw=8.466556&amp;pitch=0&amp;thumbfov=100", "link")</f>
        <v>link</v>
      </c>
    </row>
    <row r="2456" spans="1:4" x14ac:dyDescent="0.45">
      <c r="A2456" t="s">
        <v>2458</v>
      </c>
      <c r="B2456">
        <v>34.100085300000003</v>
      </c>
      <c r="C2456">
        <v>-118.33529710000001</v>
      </c>
      <c r="D2456" t="str">
        <f>HYPERLINK("https://streetviewpixels-pa.googleapis.com/v1/thumbnail?panoid=EsBKsum8vwyZ44wdMBlLVQ&amp;cb_client=search.gws-prod.gps&amp;w=408&amp;h=240&amp;yaw=334.11804&amp;pitch=0&amp;thumbfov=100", "link")</f>
        <v>link</v>
      </c>
    </row>
    <row r="2457" spans="1:4" x14ac:dyDescent="0.45">
      <c r="A2457" t="s">
        <v>2459</v>
      </c>
      <c r="B2457">
        <v>34.098941699999997</v>
      </c>
      <c r="C2457">
        <v>-118.33289240000001</v>
      </c>
      <c r="D2457" t="str">
        <f>HYPERLINK("https://streetviewpixels-pa.googleapis.com/v1/thumbnail?panoid=aSsmo9iIOoNt5Unvdd8vUQ&amp;cb_client=search.gws-prod.gps&amp;w=408&amp;h=240&amp;yaw=280.6707&amp;pitch=0&amp;thumbfov=100", "link")</f>
        <v>link</v>
      </c>
    </row>
    <row r="2458" spans="1:4" x14ac:dyDescent="0.45">
      <c r="A2458" t="s">
        <v>2460</v>
      </c>
      <c r="B2458">
        <v>34.099137200000001</v>
      </c>
      <c r="C2458">
        <v>-118.3340402</v>
      </c>
      <c r="D2458" t="s">
        <v>5</v>
      </c>
    </row>
    <row r="2459" spans="1:4" x14ac:dyDescent="0.45">
      <c r="A2459" t="s">
        <v>2461</v>
      </c>
      <c r="B2459">
        <v>34.102318400000001</v>
      </c>
      <c r="C2459">
        <v>-118.33636</v>
      </c>
      <c r="D2459" t="str">
        <f>HYPERLINK("https://streetviewpixels-pa.googleapis.com/v1/thumbnail?panoid=HMsE-evSpQTf7U--Qf3bAg&amp;cb_client=search.gws-prod.gps&amp;w=408&amp;h=240&amp;yaw=92.48314&amp;pitch=0&amp;thumbfov=100", "link")</f>
        <v>link</v>
      </c>
    </row>
    <row r="2460" spans="1:4" x14ac:dyDescent="0.45">
      <c r="A2460" t="s">
        <v>2462</v>
      </c>
      <c r="B2460">
        <v>34.098679799999999</v>
      </c>
      <c r="C2460">
        <v>-118.3328396</v>
      </c>
      <c r="D2460" t="str">
        <f>HYPERLINK("https://streetviewpixels-pa.googleapis.com/v1/thumbnail?panoid=u56oKrMP0M2wjPB9WPSFJw&amp;cb_client=search.gws-prod.gps&amp;w=408&amp;h=240&amp;yaw=0.74092263&amp;pitch=0&amp;thumbfov=100", "link")</f>
        <v>link</v>
      </c>
    </row>
    <row r="2461" spans="1:4" x14ac:dyDescent="0.45">
      <c r="A2461" t="s">
        <v>2463</v>
      </c>
      <c r="B2461">
        <v>34.100131900000001</v>
      </c>
      <c r="C2461">
        <v>-118.32898400000001</v>
      </c>
      <c r="D2461" t="s">
        <v>5</v>
      </c>
    </row>
    <row r="2462" spans="1:4" x14ac:dyDescent="0.45">
      <c r="A2462" t="s">
        <v>2464</v>
      </c>
      <c r="B2462">
        <v>34.100183799999897</v>
      </c>
      <c r="C2462">
        <v>-118.33630890000001</v>
      </c>
      <c r="D2462" t="str">
        <f>HYPERLINK("https://streetviewpixels-pa.googleapis.com/v1/thumbnail?panoid=uDwQH5RAtir5kW6SQS64CQ&amp;cb_client=search.gws-prod.gps&amp;w=408&amp;h=240&amp;yaw=225.82704&amp;pitch=0&amp;thumbfov=100", "link")</f>
        <v>link</v>
      </c>
    </row>
    <row r="2463" spans="1:4" x14ac:dyDescent="0.45">
      <c r="A2463" t="s">
        <v>2465</v>
      </c>
      <c r="B2463">
        <v>34.098275099999903</v>
      </c>
      <c r="C2463">
        <v>-118.3316198</v>
      </c>
      <c r="D2463" t="str">
        <f>HYPERLINK("https://streetviewpixels-pa.googleapis.com/v1/thumbnail?panoid=aRasW4WADP6vaAueJPpvdA&amp;cb_client=search.gws-prod.gps&amp;w=408&amp;h=240&amp;yaw=359.69305&amp;pitch=0&amp;thumbfov=100", "link")</f>
        <v>link</v>
      </c>
    </row>
    <row r="2464" spans="1:4" x14ac:dyDescent="0.45">
      <c r="A2464" t="s">
        <v>2466</v>
      </c>
      <c r="B2464">
        <v>34.098630200000002</v>
      </c>
      <c r="C2464">
        <v>-118.3301683</v>
      </c>
      <c r="D2464" t="s">
        <v>5</v>
      </c>
    </row>
    <row r="2465" spans="1:4" x14ac:dyDescent="0.45">
      <c r="A2465" t="s">
        <v>2467</v>
      </c>
      <c r="B2465">
        <v>34.102066999999998</v>
      </c>
      <c r="C2465">
        <v>-118.3372932</v>
      </c>
      <c r="D2465" t="str">
        <f>HYPERLINK("https://lh5.googleusercontent.com/p/AF1QipPXjlvInNSFxnWYPISKV2oqgz3GBH2qGGipuo36=w408-h725-k-no", "link")</f>
        <v>link</v>
      </c>
    </row>
    <row r="2466" spans="1:4" x14ac:dyDescent="0.45">
      <c r="A2466" t="s">
        <v>2468</v>
      </c>
      <c r="B2466">
        <v>34.100497299999901</v>
      </c>
      <c r="C2466">
        <v>-118.32803490000001</v>
      </c>
      <c r="D2466" t="str">
        <f>HYPERLINK("https://streetviewpixels-pa.googleapis.com/v1/thumbnail?panoid=W03U6bWNRZZ0KB-psZJ_xQ&amp;cb_client=search.gws-prod.gps&amp;w=408&amp;h=240&amp;yaw=164.81706&amp;pitch=0&amp;thumbfov=100", "link")</f>
        <v>link</v>
      </c>
    </row>
    <row r="2467" spans="1:4" x14ac:dyDescent="0.45">
      <c r="A2467" t="s">
        <v>2469</v>
      </c>
      <c r="B2467">
        <v>34.101273999999997</v>
      </c>
      <c r="C2467">
        <v>-118.33733700000001</v>
      </c>
      <c r="D2467" t="s">
        <v>5</v>
      </c>
    </row>
    <row r="2468" spans="1:4" x14ac:dyDescent="0.45">
      <c r="A2468" t="s">
        <v>2470</v>
      </c>
      <c r="B2468">
        <v>34.0987656</v>
      </c>
      <c r="C2468">
        <v>-118.335885</v>
      </c>
      <c r="D2468" t="str">
        <f>HYPERLINK("https://streetviewpixels-pa.googleapis.com/v1/thumbnail?panoid=63skk8QGZHag0vwUgsW7kQ&amp;cb_client=search.gws-prod.gps&amp;w=408&amp;h=240&amp;yaw=109.2216&amp;pitch=0&amp;thumbfov=100", "link")</f>
        <v>link</v>
      </c>
    </row>
    <row r="2469" spans="1:4" x14ac:dyDescent="0.45">
      <c r="A2469" t="s">
        <v>2471</v>
      </c>
      <c r="B2469">
        <v>34.097645999999997</v>
      </c>
      <c r="C2469">
        <v>-118.33340800000001</v>
      </c>
      <c r="D2469" t="str">
        <f>HYPERLINK("https://lh5.googleusercontent.com/p/AF1QipPYEWUUhFUULqzd7_0HY32nwObCmqyxj0fGScBT=w408-h306-k-no", "link")</f>
        <v>link</v>
      </c>
    </row>
    <row r="2470" spans="1:4" x14ac:dyDescent="0.45">
      <c r="A2470" t="s">
        <v>2472</v>
      </c>
      <c r="B2470">
        <v>34.103262999999998</v>
      </c>
      <c r="C2470">
        <v>-118.3274742</v>
      </c>
      <c r="D2470" t="str">
        <f>HYPERLINK("https://streetviewpixels-pa.googleapis.com/v1/thumbnail?panoid=VbrZuDcxAIMotlKSZi5PuA&amp;cb_client=search.gws-prod.gps&amp;w=408&amp;h=240&amp;yaw=97.62655&amp;pitch=0&amp;thumbfov=100", "link")</f>
        <v>link</v>
      </c>
    </row>
    <row r="2471" spans="1:4" x14ac:dyDescent="0.45">
      <c r="A2471" t="s">
        <v>2473</v>
      </c>
      <c r="B2471">
        <v>34.1019565</v>
      </c>
      <c r="C2471">
        <v>-118.332531</v>
      </c>
      <c r="D2471" t="str">
        <f>HYPERLINK("https://lh5.googleusercontent.com/p/AF1QipPV7gPnZcVoLz8GnP3T12UFgjnfZz5w0Sfo_F8A=w408-h861-k-no", "link")</f>
        <v>link</v>
      </c>
    </row>
    <row r="2472" spans="1:4" x14ac:dyDescent="0.45">
      <c r="A2472" t="s">
        <v>2474</v>
      </c>
      <c r="B2472">
        <v>34.102135500000003</v>
      </c>
      <c r="C2472">
        <v>-118.3329524</v>
      </c>
      <c r="D2472" t="s">
        <v>5</v>
      </c>
    </row>
    <row r="2473" spans="1:4" x14ac:dyDescent="0.45">
      <c r="A2473" t="s">
        <v>2475</v>
      </c>
      <c r="B2473">
        <v>34.102211400000002</v>
      </c>
      <c r="C2473">
        <v>-118.3329536</v>
      </c>
      <c r="D2473" t="s">
        <v>5</v>
      </c>
    </row>
    <row r="2474" spans="1:4" x14ac:dyDescent="0.45">
      <c r="A2474" t="s">
        <v>2476</v>
      </c>
      <c r="B2474">
        <v>34.102058300000003</v>
      </c>
      <c r="C2474">
        <v>-118.333275</v>
      </c>
      <c r="D2474" t="s">
        <v>5</v>
      </c>
    </row>
    <row r="2475" spans="1:4" x14ac:dyDescent="0.45">
      <c r="A2475" t="s">
        <v>2477</v>
      </c>
      <c r="B2475">
        <v>34.102240999999999</v>
      </c>
      <c r="C2475">
        <v>-118.3314862</v>
      </c>
      <c r="D2475" t="str">
        <f>HYPERLINK("https://lh5.googleusercontent.com/p/AF1QipPple8qmsUbOkVlIUINoHXQUmNw18q5slHkb2-f=w408-h306-k-no", "link")</f>
        <v>link</v>
      </c>
    </row>
    <row r="2476" spans="1:4" x14ac:dyDescent="0.45">
      <c r="A2476" t="s">
        <v>2478</v>
      </c>
      <c r="B2476">
        <v>34.101393999999999</v>
      </c>
      <c r="C2476">
        <v>-118.331502</v>
      </c>
      <c r="D2476" t="str">
        <f>HYPERLINK("https://streetviewpixels-pa.googleapis.com/v1/thumbnail?panoid=lGQlOG8FpU98DcBbI9wFBQ&amp;cb_client=search.gws-prod.gps&amp;w=408&amp;h=240&amp;yaw=186.57347&amp;pitch=0&amp;thumbfov=100", "link")</f>
        <v>link</v>
      </c>
    </row>
    <row r="2477" spans="1:4" x14ac:dyDescent="0.45">
      <c r="A2477" t="s">
        <v>2479</v>
      </c>
      <c r="B2477">
        <v>34.100910399999997</v>
      </c>
      <c r="C2477">
        <v>-118.33263650000001</v>
      </c>
      <c r="D2477" t="str">
        <f>HYPERLINK("https://streetviewpixels-pa.googleapis.com/v1/thumbnail?panoid=vg774J68qmPbDtB2icvDlQ&amp;cb_client=search.gws-prod.gps&amp;w=408&amp;h=240&amp;yaw=304.02814&amp;pitch=0&amp;thumbfov=100", "link")</f>
        <v>link</v>
      </c>
    </row>
    <row r="2478" spans="1:4" x14ac:dyDescent="0.45">
      <c r="A2478" t="s">
        <v>2480</v>
      </c>
      <c r="B2478">
        <v>34.102418200000002</v>
      </c>
      <c r="C2478">
        <v>-118.3343239</v>
      </c>
      <c r="D2478" t="str">
        <f>HYPERLINK("https://streetviewpixels-pa.googleapis.com/v1/thumbnail?panoid=AgKWDz9gNMDC75vTr8oFdA&amp;cb_client=search.gws-prod.gps&amp;w=408&amp;h=240&amp;yaw=118.391045&amp;pitch=0&amp;thumbfov=100", "link")</f>
        <v>link</v>
      </c>
    </row>
    <row r="2479" spans="1:4" x14ac:dyDescent="0.45">
      <c r="A2479" t="s">
        <v>2481</v>
      </c>
      <c r="B2479">
        <v>34.102500900000003</v>
      </c>
      <c r="C2479">
        <v>-118.330619</v>
      </c>
      <c r="D2479" t="s">
        <v>5</v>
      </c>
    </row>
    <row r="2480" spans="1:4" x14ac:dyDescent="0.45">
      <c r="A2480" t="s">
        <v>2482</v>
      </c>
      <c r="B2480">
        <v>34.102641400000003</v>
      </c>
      <c r="C2480">
        <v>-118.33449570000001</v>
      </c>
      <c r="D2480" t="str">
        <f>HYPERLINK("https://streetviewpixels-pa.googleapis.com/v1/thumbnail?panoid=AgKWDz9gNMDC75vTr8oFdA&amp;cb_client=search.gws-prod.gps&amp;w=408&amp;h=240&amp;yaw=118.391045&amp;pitch=0&amp;thumbfov=100", "link")</f>
        <v>link</v>
      </c>
    </row>
    <row r="2481" spans="1:4" x14ac:dyDescent="0.45">
      <c r="A2481" t="s">
        <v>2483</v>
      </c>
      <c r="B2481">
        <v>34.102531599999999</v>
      </c>
      <c r="C2481">
        <v>-118.3303966</v>
      </c>
      <c r="D2481" t="s">
        <v>5</v>
      </c>
    </row>
    <row r="2482" spans="1:4" x14ac:dyDescent="0.45">
      <c r="A2482" t="s">
        <v>2484</v>
      </c>
      <c r="B2482">
        <v>34.102507199999998</v>
      </c>
      <c r="C2482">
        <v>-118.330259</v>
      </c>
      <c r="D2482" t="s">
        <v>5</v>
      </c>
    </row>
    <row r="2483" spans="1:4" x14ac:dyDescent="0.45">
      <c r="A2483" t="s">
        <v>2485</v>
      </c>
      <c r="B2483">
        <v>34.101439200000002</v>
      </c>
      <c r="C2483">
        <v>-118.3302431</v>
      </c>
      <c r="D2483" t="str">
        <f>HYPERLINK("https://streetviewpixels-pa.googleapis.com/v1/thumbnail?panoid=bR_wGdmJNB0fOIrfbpg_ww&amp;cb_client=search.gws-prod.gps&amp;w=408&amp;h=240&amp;yaw=187.99284&amp;pitch=0&amp;thumbfov=100", "link")</f>
        <v>link</v>
      </c>
    </row>
    <row r="2484" spans="1:4" x14ac:dyDescent="0.45">
      <c r="A2484" t="s">
        <v>2486</v>
      </c>
      <c r="B2484">
        <v>34.1007848</v>
      </c>
      <c r="C2484">
        <v>-118.3304694</v>
      </c>
      <c r="D2484" t="s">
        <v>5</v>
      </c>
    </row>
    <row r="2485" spans="1:4" x14ac:dyDescent="0.45">
      <c r="A2485" t="s">
        <v>2487</v>
      </c>
      <c r="B2485">
        <v>34.102554499999997</v>
      </c>
      <c r="C2485">
        <v>-118.3300234</v>
      </c>
      <c r="D2485" t="s">
        <v>5</v>
      </c>
    </row>
    <row r="2486" spans="1:4" x14ac:dyDescent="0.45">
      <c r="A2486" t="s">
        <v>2488</v>
      </c>
      <c r="B2486">
        <v>34.100335700000002</v>
      </c>
      <c r="C2486">
        <v>-118.3306192</v>
      </c>
      <c r="D2486" t="str">
        <f>HYPERLINK("https://streetviewpixels-pa.googleapis.com/v1/thumbnail?panoid=hTEWigxBa7S1y8mhp1OUfQ&amp;cb_client=search.gws-prod.gps&amp;w=408&amp;h=240&amp;yaw=80.08959&amp;pitch=0&amp;thumbfov=100", "link")</f>
        <v>link</v>
      </c>
    </row>
    <row r="2487" spans="1:4" x14ac:dyDescent="0.45">
      <c r="A2487" t="s">
        <v>2489</v>
      </c>
      <c r="B2487">
        <v>34.100112000000003</v>
      </c>
      <c r="C2487">
        <v>-118.330697</v>
      </c>
      <c r="D2487" t="str">
        <f>HYPERLINK("https://streetviewpixels-pa.googleapis.com/v1/thumbnail?panoid=NOg0RJ4OPTb8BDjTpMnqjA&amp;cb_client=search.gws-prod.gps&amp;w=408&amp;h=240&amp;yaw=77.45467&amp;pitch=0&amp;thumbfov=100", "link")</f>
        <v>link</v>
      </c>
    </row>
    <row r="2488" spans="1:4" x14ac:dyDescent="0.45">
      <c r="A2488" t="s">
        <v>2490</v>
      </c>
      <c r="B2488">
        <v>34.102369299999999</v>
      </c>
      <c r="C2488">
        <v>-118.3355169</v>
      </c>
      <c r="D2488" t="str">
        <f>HYPERLINK("https://streetviewpixels-pa.googleapis.com/v1/thumbnail?panoid=dOVCOws1NrWF142OqRXcVg&amp;cb_client=search.gws-prod.gps&amp;w=408&amp;h=240&amp;yaw=271.5809&amp;pitch=0&amp;thumbfov=100", "link")</f>
        <v>link</v>
      </c>
    </row>
    <row r="2489" spans="1:4" x14ac:dyDescent="0.45">
      <c r="A2489" t="s">
        <v>2491</v>
      </c>
      <c r="B2489">
        <v>34.100592499999998</v>
      </c>
      <c r="C2489">
        <v>-118.3299907</v>
      </c>
      <c r="D2489" t="str">
        <f>HYPERLINK("https://streetviewpixels-pa.googleapis.com/v1/thumbnail?panoid=ViJz7CC8TrslnNEcDrGbRQ&amp;cb_client=search.gws-prod.gps&amp;w=408&amp;h=240&amp;yaw=277.2835&amp;pitch=0&amp;thumbfov=100", "link")</f>
        <v>link</v>
      </c>
    </row>
    <row r="2490" spans="1:4" x14ac:dyDescent="0.45">
      <c r="A2490" t="s">
        <v>2492</v>
      </c>
      <c r="B2490">
        <v>34.103516200000001</v>
      </c>
      <c r="C2490">
        <v>-118.3299366</v>
      </c>
      <c r="D2490" t="str">
        <f>HYPERLINK("https://streetviewpixels-pa.googleapis.com/v1/thumbnail?panoid=6GUsix1Ul4WpbqFNFaymGQ&amp;cb_client=search.gws-prod.gps&amp;w=408&amp;h=240&amp;yaw=235.58844&amp;pitch=0&amp;thumbfov=100", "link")</f>
        <v>link</v>
      </c>
    </row>
    <row r="2491" spans="1:4" x14ac:dyDescent="0.45">
      <c r="A2491" t="s">
        <v>2493</v>
      </c>
      <c r="B2491">
        <v>34.046682599999997</v>
      </c>
      <c r="C2491">
        <v>-118.2518163</v>
      </c>
      <c r="D2491" t="str">
        <f>HYPERLINK("https://lh5.googleusercontent.com/p/AF1QipMXnk6D-x-diZv1lsFnYBC7Y15x1NIdzJNVfGff=w408-h544-k-no", "link")</f>
        <v>link</v>
      </c>
    </row>
    <row r="2492" spans="1:4" x14ac:dyDescent="0.45">
      <c r="A2492" t="s">
        <v>2494</v>
      </c>
      <c r="B2492">
        <v>34.046441899999998</v>
      </c>
      <c r="C2492">
        <v>-118.25195429999999</v>
      </c>
      <c r="D2492" t="str">
        <f>HYPERLINK("https://streetviewpixels-pa.googleapis.com/v1/thumbnail?panoid=ijpUc35w_xD7jDabnfKOow&amp;cb_client=search.gws-prod.gps&amp;w=408&amp;h=240&amp;yaw=219.81291&amp;pitch=0&amp;thumbfov=100", "link")</f>
        <v>link</v>
      </c>
    </row>
    <row r="2493" spans="1:4" x14ac:dyDescent="0.45">
      <c r="A2493" t="s">
        <v>2495</v>
      </c>
      <c r="B2493">
        <v>34.044763000000003</v>
      </c>
      <c r="C2493">
        <v>-118.25067</v>
      </c>
      <c r="D2493" t="s">
        <v>5</v>
      </c>
    </row>
    <row r="2494" spans="1:4" x14ac:dyDescent="0.45">
      <c r="A2494" t="s">
        <v>2496</v>
      </c>
      <c r="B2494">
        <v>34.047008899999902</v>
      </c>
      <c r="C2494">
        <v>-118.2485515</v>
      </c>
      <c r="D2494" t="str">
        <f>HYPERLINK("https://streetviewpixels-pa.googleapis.com/v1/thumbnail?panoid=X043Y-7EKQLaZnT7MM0-XQ&amp;cb_client=search.gws-prod.gps&amp;w=408&amp;h=240&amp;yaw=313.8308&amp;pitch=0&amp;thumbfov=100", "link")</f>
        <v>link</v>
      </c>
    </row>
    <row r="2495" spans="1:4" x14ac:dyDescent="0.45">
      <c r="A2495" t="s">
        <v>2497</v>
      </c>
      <c r="B2495">
        <v>34.0446442</v>
      </c>
      <c r="C2495">
        <v>-118.24975240000001</v>
      </c>
      <c r="D2495" t="str">
        <f>HYPERLINK("https://streetviewpixels-pa.googleapis.com/v1/thumbnail?panoid=d_Gvo4W-HnQzg1PW0AHADg&amp;cb_client=search.gws-prod.gps&amp;w=408&amp;h=240&amp;yaw=105.92331&amp;pitch=0&amp;thumbfov=100", "link")</f>
        <v>link</v>
      </c>
    </row>
    <row r="2496" spans="1:4" x14ac:dyDescent="0.45">
      <c r="A2496" t="s">
        <v>2498</v>
      </c>
      <c r="B2496">
        <v>34.045330999999997</v>
      </c>
      <c r="C2496">
        <v>-118.25199310000001</v>
      </c>
      <c r="D2496" t="s">
        <v>5</v>
      </c>
    </row>
    <row r="2497" spans="1:4" x14ac:dyDescent="0.45">
      <c r="A2497" t="s">
        <v>2499</v>
      </c>
      <c r="B2497">
        <v>34.0479415</v>
      </c>
      <c r="C2497">
        <v>-118.24957499999999</v>
      </c>
      <c r="D2497" t="s">
        <v>5</v>
      </c>
    </row>
    <row r="2498" spans="1:4" x14ac:dyDescent="0.45">
      <c r="A2498" t="s">
        <v>2500</v>
      </c>
      <c r="B2498">
        <v>34.047331399999997</v>
      </c>
      <c r="C2498">
        <v>-118.2484086</v>
      </c>
      <c r="D2498" t="s">
        <v>5</v>
      </c>
    </row>
    <row r="2499" spans="1:4" x14ac:dyDescent="0.45">
      <c r="A2499" t="s">
        <v>2501</v>
      </c>
      <c r="B2499">
        <v>34.047328499999999</v>
      </c>
      <c r="C2499">
        <v>-118.24836809999999</v>
      </c>
      <c r="D2499" t="s">
        <v>5</v>
      </c>
    </row>
    <row r="2500" spans="1:4" x14ac:dyDescent="0.45">
      <c r="A2500" t="s">
        <v>2502</v>
      </c>
      <c r="B2500">
        <v>34.045085999999998</v>
      </c>
      <c r="C2500">
        <v>-118.25226499999999</v>
      </c>
      <c r="D2500" t="s">
        <v>5</v>
      </c>
    </row>
    <row r="2501" spans="1:4" x14ac:dyDescent="0.45">
      <c r="A2501" t="s">
        <v>2503</v>
      </c>
      <c r="B2501">
        <v>34.044139000000001</v>
      </c>
      <c r="C2501">
        <v>-118.250776</v>
      </c>
      <c r="D2501" t="s">
        <v>5</v>
      </c>
    </row>
    <row r="2502" spans="1:4" x14ac:dyDescent="0.45">
      <c r="A2502" t="s">
        <v>2504</v>
      </c>
      <c r="B2502">
        <v>34.048344800000002</v>
      </c>
      <c r="C2502">
        <v>-118.24998549999999</v>
      </c>
      <c r="D2502" t="str">
        <f>HYPERLINK("https://streetviewpixels-pa.googleapis.com/v1/thumbnail?panoid=feBeazODMDuAoYajoZ8hOA&amp;cb_client=search.gws-prod.gps&amp;w=408&amp;h=240&amp;yaw=126.51059&amp;pitch=0&amp;thumbfov=100", "link")</f>
        <v>link</v>
      </c>
    </row>
    <row r="2503" spans="1:4" x14ac:dyDescent="0.45">
      <c r="A2503" t="s">
        <v>2505</v>
      </c>
      <c r="B2503">
        <v>34.048355200000003</v>
      </c>
      <c r="C2503">
        <v>-118.24997260000001</v>
      </c>
      <c r="D2503" t="str">
        <f>HYPERLINK("https://streetviewpixels-pa.googleapis.com/v1/thumbnail?panoid=feBeazODMDuAoYajoZ8hOA&amp;cb_client=search.gws-prod.gps&amp;w=408&amp;h=240&amp;yaw=126.51059&amp;pitch=0&amp;thumbfov=100", "link")</f>
        <v>link</v>
      </c>
    </row>
    <row r="2504" spans="1:4" x14ac:dyDescent="0.45">
      <c r="A2504" t="s">
        <v>2506</v>
      </c>
      <c r="B2504">
        <v>34.047180899999901</v>
      </c>
      <c r="C2504">
        <v>-118.2525668</v>
      </c>
      <c r="D2504" t="str">
        <f>HYPERLINK("https://streetviewpixels-pa.googleapis.com/v1/thumbnail?panoid=ahgH3AAqipzWS1rH9B1J6A&amp;cb_client=search.gws-prod.gps&amp;w=408&amp;h=240&amp;yaw=22.38921&amp;pitch=0&amp;thumbfov=100", "link")</f>
        <v>link</v>
      </c>
    </row>
    <row r="2505" spans="1:4" x14ac:dyDescent="0.45">
      <c r="A2505" t="s">
        <v>2507</v>
      </c>
      <c r="B2505">
        <v>34.047184499999901</v>
      </c>
      <c r="C2505">
        <v>-118.2525663</v>
      </c>
      <c r="D2505" t="str">
        <f>HYPERLINK("https://streetviewpixels-pa.googleapis.com/v1/thumbnail?panoid=ahgH3AAqipzWS1rH9B1J6A&amp;cb_client=search.gws-prod.gps&amp;w=408&amp;h=240&amp;yaw=22.38921&amp;pitch=0&amp;thumbfov=100", "link")</f>
        <v>link</v>
      </c>
    </row>
    <row r="2506" spans="1:4" x14ac:dyDescent="0.45">
      <c r="A2506" t="s">
        <v>2508</v>
      </c>
      <c r="B2506">
        <v>34.045207499999997</v>
      </c>
      <c r="C2506">
        <v>-118.24789509999999</v>
      </c>
      <c r="D2506" t="s">
        <v>5</v>
      </c>
    </row>
    <row r="2507" spans="1:4" x14ac:dyDescent="0.45">
      <c r="A2507" t="s">
        <v>2509</v>
      </c>
      <c r="B2507">
        <v>34.044043100000003</v>
      </c>
      <c r="C2507">
        <v>-118.25078929999999</v>
      </c>
      <c r="D2507" t="s">
        <v>5</v>
      </c>
    </row>
    <row r="2508" spans="1:4" x14ac:dyDescent="0.45">
      <c r="A2508" t="s">
        <v>2510</v>
      </c>
      <c r="B2508">
        <v>34.044000199999999</v>
      </c>
      <c r="C2508">
        <v>-118.2500761</v>
      </c>
      <c r="D2508" t="str">
        <f>HYPERLINK("https://streetviewpixels-pa.googleapis.com/v1/thumbnail?panoid=rSq8xQbbOn6LqcrlvxzCqg&amp;cb_client=search.gws-prod.gps&amp;w=408&amp;h=240&amp;yaw=334.01123&amp;pitch=0&amp;thumbfov=100", "link")</f>
        <v>link</v>
      </c>
    </row>
    <row r="2509" spans="1:4" x14ac:dyDescent="0.45">
      <c r="A2509" t="s">
        <v>2511</v>
      </c>
      <c r="B2509">
        <v>34.0475426</v>
      </c>
      <c r="C2509">
        <v>-118.25243450000001</v>
      </c>
      <c r="D2509" t="str">
        <f>HYPERLINK("https://streetviewpixels-pa.googleapis.com/v1/thumbnail?panoid=7gzGF9HtFFNPHIQMGgwfnw&amp;cb_client=search.gws-prod.gps&amp;w=408&amp;h=240&amp;yaw=132.8647&amp;pitch=0&amp;thumbfov=100", "link")</f>
        <v>link</v>
      </c>
    </row>
    <row r="2510" spans="1:4" x14ac:dyDescent="0.45">
      <c r="A2510" t="s">
        <v>2512</v>
      </c>
      <c r="B2510">
        <v>34.048404799999901</v>
      </c>
      <c r="C2510">
        <v>-118.2493405</v>
      </c>
      <c r="D2510" t="str">
        <f>HYPERLINK("https://streetviewpixels-pa.googleapis.com/v1/thumbnail?panoid=phnSK8yi1MS_RsSujFwMrQ&amp;cb_client=search.gws-prod.gps&amp;w=408&amp;h=240&amp;yaw=308.9114&amp;pitch=0&amp;thumbfov=100", "link")</f>
        <v>link</v>
      </c>
    </row>
    <row r="2511" spans="1:4" x14ac:dyDescent="0.45">
      <c r="A2511" t="s">
        <v>2513</v>
      </c>
      <c r="B2511">
        <v>34.046221500000001</v>
      </c>
      <c r="C2511">
        <v>-118.25024380000001</v>
      </c>
      <c r="D2511" t="s">
        <v>5</v>
      </c>
    </row>
    <row r="2512" spans="1:4" x14ac:dyDescent="0.45">
      <c r="A2512" t="s">
        <v>2514</v>
      </c>
      <c r="B2512">
        <v>34.046232600000003</v>
      </c>
      <c r="C2512">
        <v>-118.2501954</v>
      </c>
      <c r="D2512" t="s">
        <v>5</v>
      </c>
    </row>
    <row r="2513" spans="1:4" x14ac:dyDescent="0.45">
      <c r="A2513" t="s">
        <v>2515</v>
      </c>
      <c r="B2513">
        <v>34.046578799999999</v>
      </c>
      <c r="C2513">
        <v>-118.2502483</v>
      </c>
      <c r="D2513" t="str">
        <f>HYPERLINK("https://streetviewpixels-pa.googleapis.com/v1/thumbnail?panoid=3msGfjD5SdCeLu0izALtXQ&amp;cb_client=search.gws-prod.gps&amp;w=408&amp;h=240&amp;yaw=82.668106&amp;pitch=0&amp;thumbfov=100", "link")</f>
        <v>link</v>
      </c>
    </row>
    <row r="2514" spans="1:4" x14ac:dyDescent="0.45">
      <c r="A2514" t="s">
        <v>2516</v>
      </c>
      <c r="B2514">
        <v>34.045767099999999</v>
      </c>
      <c r="C2514">
        <v>-118.24993360000001</v>
      </c>
      <c r="D2514" t="s">
        <v>5</v>
      </c>
    </row>
    <row r="2515" spans="1:4" x14ac:dyDescent="0.45">
      <c r="A2515" t="s">
        <v>2517</v>
      </c>
      <c r="B2515">
        <v>34.045740500000001</v>
      </c>
      <c r="C2515">
        <v>-118.2499213</v>
      </c>
      <c r="D2515" t="s">
        <v>5</v>
      </c>
    </row>
    <row r="2516" spans="1:4" x14ac:dyDescent="0.45">
      <c r="A2516" t="s">
        <v>2518</v>
      </c>
      <c r="B2516">
        <v>34.046042700000001</v>
      </c>
      <c r="C2516">
        <v>-118.24956280000001</v>
      </c>
      <c r="D2516" t="str">
        <f>HYPERLINK("https://streetviewpixels-pa.googleapis.com/v1/thumbnail?panoid=Ay5C52da2-j-TuiciH-GcA&amp;cb_client=search.gws-prod.gps&amp;w=408&amp;h=240&amp;yaw=301.7287&amp;pitch=0&amp;thumbfov=100", "link")</f>
        <v>link</v>
      </c>
    </row>
    <row r="2517" spans="1:4" x14ac:dyDescent="0.45">
      <c r="A2517" t="s">
        <v>2519</v>
      </c>
      <c r="B2517">
        <v>34.045797499999999</v>
      </c>
      <c r="C2517">
        <v>-118.250936</v>
      </c>
      <c r="D2517" t="str">
        <f>HYPERLINK("https://streetviewpixels-pa.googleapis.com/v1/thumbnail?panoid=2S8a3mRhi8tqkPdRmLVCuA&amp;cb_client=search.gws-prod.gps&amp;w=408&amp;h=240&amp;yaw=92.17588&amp;pitch=0&amp;thumbfov=100", "link")</f>
        <v>link</v>
      </c>
    </row>
    <row r="2518" spans="1:4" x14ac:dyDescent="0.45">
      <c r="A2518" t="s">
        <v>2520</v>
      </c>
      <c r="B2518">
        <v>34.046325000000003</v>
      </c>
      <c r="C2518">
        <v>-118.24938179999999</v>
      </c>
      <c r="D2518" t="str">
        <f>HYPERLINK("https://streetviewpixels-pa.googleapis.com/v1/thumbnail?panoid=Ay5C52da2-j-TuiciH-GcA&amp;cb_client=search.gws-prod.gps&amp;w=408&amp;h=240&amp;yaw=301.7287&amp;pitch=0&amp;thumbfov=100", "link")</f>
        <v>link</v>
      </c>
    </row>
    <row r="2519" spans="1:4" x14ac:dyDescent="0.45">
      <c r="A2519" t="s">
        <v>2521</v>
      </c>
      <c r="B2519">
        <v>34.0469613</v>
      </c>
      <c r="C2519">
        <v>-118.25023520000001</v>
      </c>
      <c r="D2519" t="str">
        <f>HYPERLINK("https://lh5.googleusercontent.com/p/AF1QipNfKi5h8ZSEqIV8PDYEd2hTXbltLOJTvba3YuWC=w408-h894-k-no", "link")</f>
        <v>link</v>
      </c>
    </row>
    <row r="2520" spans="1:4" x14ac:dyDescent="0.45">
      <c r="A2520" t="s">
        <v>2522</v>
      </c>
      <c r="B2520">
        <v>34.047154599999999</v>
      </c>
      <c r="C2520">
        <v>-118.2503421</v>
      </c>
      <c r="D2520" t="str">
        <f>HYPERLINK("https://streetviewpixels-pa.googleapis.com/v1/thumbnail?panoid=IUsktNV29T49f47Rwk1XlQ&amp;cb_client=search.gws-prod.gps&amp;w=408&amp;h=240&amp;yaw=313.13788&amp;pitch=0&amp;thumbfov=100", "link")</f>
        <v>link</v>
      </c>
    </row>
    <row r="2521" spans="1:4" x14ac:dyDescent="0.45">
      <c r="A2521" t="s">
        <v>2523</v>
      </c>
      <c r="B2521">
        <v>34.045273100000003</v>
      </c>
      <c r="C2521">
        <v>-118.25033999999999</v>
      </c>
      <c r="D2521" t="s">
        <v>5</v>
      </c>
    </row>
    <row r="2522" spans="1:4" x14ac:dyDescent="0.45">
      <c r="A2522" t="s">
        <v>2524</v>
      </c>
      <c r="B2522">
        <v>34.045316999999997</v>
      </c>
      <c r="C2522">
        <v>-118.249382</v>
      </c>
      <c r="D2522" t="str">
        <f>HYPERLINK("https://streetviewpixels-pa.googleapis.com/v1/thumbnail?panoid=0fiiL5MJvQA7SdJQf9yCvQ&amp;cb_client=search.gws-prod.gps&amp;w=408&amp;h=240&amp;yaw=10.2592325&amp;pitch=0&amp;thumbfov=100", "link")</f>
        <v>link</v>
      </c>
    </row>
    <row r="2523" spans="1:4" x14ac:dyDescent="0.45">
      <c r="A2523" t="s">
        <v>2525</v>
      </c>
      <c r="B2523">
        <v>34.046290200000001</v>
      </c>
      <c r="C2523">
        <v>-118.2516873</v>
      </c>
      <c r="D2523" t="str">
        <f>HYPERLINK("https://streetviewpixels-pa.googleapis.com/v1/thumbnail?panoid=wm00D0nmh3g6XJQveuvfvA&amp;cb_client=search.gws-prod.gps&amp;w=408&amp;h=240&amp;yaw=122.38821&amp;pitch=0&amp;thumbfov=100", "link")</f>
        <v>link</v>
      </c>
    </row>
    <row r="2524" spans="1:4" x14ac:dyDescent="0.45">
      <c r="A2524" t="s">
        <v>2526</v>
      </c>
      <c r="B2524">
        <v>34.044993099999999</v>
      </c>
      <c r="C2524">
        <v>-118.25068899999999</v>
      </c>
      <c r="D2524" t="s">
        <v>5</v>
      </c>
    </row>
    <row r="2525" spans="1:4" x14ac:dyDescent="0.45">
      <c r="A2525" t="s">
        <v>2527</v>
      </c>
      <c r="B2525">
        <v>34.045722599999998</v>
      </c>
      <c r="C2525">
        <v>-118.25168619999999</v>
      </c>
      <c r="D2525" t="s">
        <v>5</v>
      </c>
    </row>
    <row r="2526" spans="1:4" x14ac:dyDescent="0.45">
      <c r="A2526" t="s">
        <v>2528</v>
      </c>
      <c r="B2526">
        <v>34.045732600000001</v>
      </c>
      <c r="C2526">
        <v>-118.25170230000001</v>
      </c>
      <c r="D2526" t="s">
        <v>5</v>
      </c>
    </row>
    <row r="2527" spans="1:4" x14ac:dyDescent="0.45">
      <c r="A2527" t="s">
        <v>2529</v>
      </c>
      <c r="B2527">
        <v>34.047390999999998</v>
      </c>
      <c r="C2527">
        <v>-118.2510308</v>
      </c>
      <c r="D2527" t="s">
        <v>5</v>
      </c>
    </row>
    <row r="2528" spans="1:4" x14ac:dyDescent="0.45">
      <c r="A2528" t="s">
        <v>2530</v>
      </c>
      <c r="B2528">
        <v>34.044917900000002</v>
      </c>
      <c r="C2528">
        <v>-118.2506522</v>
      </c>
      <c r="D2528" t="s">
        <v>5</v>
      </c>
    </row>
    <row r="2529" spans="1:4" x14ac:dyDescent="0.45">
      <c r="A2529" t="s">
        <v>2531</v>
      </c>
      <c r="B2529">
        <v>34.045794000000001</v>
      </c>
      <c r="C2529">
        <v>-118.2517943</v>
      </c>
      <c r="D2529" t="s">
        <v>5</v>
      </c>
    </row>
    <row r="2530" spans="1:4" x14ac:dyDescent="0.45">
      <c r="A2530" t="s">
        <v>2532</v>
      </c>
      <c r="B2530">
        <v>34.046247199999897</v>
      </c>
      <c r="C2530">
        <v>-118.2519008</v>
      </c>
      <c r="D2530" t="str">
        <f>HYPERLINK("https://streetviewpixels-pa.googleapis.com/v1/thumbnail?panoid=4sT8ujh7nhXtZrzRYKgCsw&amp;cb_client=search.gws-prod.gps&amp;w=408&amp;h=240&amp;yaw=224.78528&amp;pitch=0&amp;thumbfov=100", "link")</f>
        <v>link</v>
      </c>
    </row>
    <row r="2531" spans="1:4" x14ac:dyDescent="0.45">
      <c r="A2531" t="s">
        <v>2533</v>
      </c>
      <c r="B2531">
        <v>34.046517000000001</v>
      </c>
      <c r="C2531">
        <v>-118.2534</v>
      </c>
      <c r="D2531" t="s">
        <v>5</v>
      </c>
    </row>
    <row r="2532" spans="1:4" x14ac:dyDescent="0.45">
      <c r="A2532" t="s">
        <v>2534</v>
      </c>
      <c r="B2532">
        <v>34.046926900000003</v>
      </c>
      <c r="C2532">
        <v>-118.25496870000001</v>
      </c>
      <c r="D2532" t="str">
        <f>HYPERLINK("https://streetviewpixels-pa.googleapis.com/v1/thumbnail?panoid=PKgmYdu_ANZZOc1PpEixVQ&amp;cb_client=search.gws-prod.gps&amp;w=408&amp;h=240&amp;yaw=111.60455&amp;pitch=0&amp;thumbfov=100", "link")</f>
        <v>link</v>
      </c>
    </row>
    <row r="2533" spans="1:4" x14ac:dyDescent="0.45">
      <c r="A2533" t="s">
        <v>2535</v>
      </c>
      <c r="B2533">
        <v>34.050687099999998</v>
      </c>
      <c r="C2533">
        <v>-118.2538765</v>
      </c>
      <c r="D2533" t="str">
        <f>HYPERLINK("https://lh5.googleusercontent.com/p/AF1QipPAioOCjzm9WlOXWxpQ8UTHHsAQO5kSGjUeSyYk=w408-h544-k-no", "link")</f>
        <v>link</v>
      </c>
    </row>
    <row r="2534" spans="1:4" x14ac:dyDescent="0.45">
      <c r="A2534" t="s">
        <v>2536</v>
      </c>
      <c r="B2534">
        <v>34.049633999999898</v>
      </c>
      <c r="C2534">
        <v>-118.25558909999999</v>
      </c>
      <c r="D2534" t="str">
        <f>HYPERLINK("https://lh5.googleusercontent.com/p/AF1QipPsnoce6hK6mPRsVIJjGtaymRErD3jUsTXwqACe=w408-h612-k-no", "link")</f>
        <v>link</v>
      </c>
    </row>
    <row r="2535" spans="1:4" x14ac:dyDescent="0.45">
      <c r="A2535" t="s">
        <v>2537</v>
      </c>
      <c r="B2535">
        <v>34.046517999999999</v>
      </c>
      <c r="C2535">
        <v>-118.254385</v>
      </c>
      <c r="D2535" t="s">
        <v>5</v>
      </c>
    </row>
    <row r="2536" spans="1:4" x14ac:dyDescent="0.45">
      <c r="A2536" t="s">
        <v>2538</v>
      </c>
      <c r="B2536">
        <v>34.047066299999898</v>
      </c>
      <c r="C2536">
        <v>-118.2553101</v>
      </c>
      <c r="D2536" t="str">
        <f>HYPERLINK("https://streetviewpixels-pa.googleapis.com/v1/thumbnail?panoid=G8k3qkKkbCDBxlIwVhZliA&amp;cb_client=search.gws-prod.gps&amp;w=408&amp;h=240&amp;yaw=283.36594&amp;pitch=0&amp;thumbfov=100", "link")</f>
        <v>link</v>
      </c>
    </row>
    <row r="2537" spans="1:4" x14ac:dyDescent="0.45">
      <c r="A2537" t="s">
        <v>2539</v>
      </c>
      <c r="B2537">
        <v>34.050643399999998</v>
      </c>
      <c r="C2537">
        <v>-118.2522512</v>
      </c>
      <c r="D2537" t="s">
        <v>5</v>
      </c>
    </row>
    <row r="2538" spans="1:4" x14ac:dyDescent="0.45">
      <c r="A2538" t="s">
        <v>2540</v>
      </c>
      <c r="B2538">
        <v>34.046250399999998</v>
      </c>
      <c r="C2538">
        <v>-118.2533856</v>
      </c>
      <c r="D2538" t="str">
        <f>HYPERLINK("https://streetviewpixels-pa.googleapis.com/v1/thumbnail?panoid=zR1-u73wLeHfLBgTSjBCIQ&amp;cb_client=search.gws-prod.gps&amp;w=408&amp;h=240&amp;yaw=120.03382&amp;pitch=0&amp;thumbfov=100", "link")</f>
        <v>link</v>
      </c>
    </row>
    <row r="2539" spans="1:4" x14ac:dyDescent="0.45">
      <c r="A2539" t="s">
        <v>2541</v>
      </c>
      <c r="B2539">
        <v>34.049686100000002</v>
      </c>
      <c r="C2539">
        <v>-118.2507617</v>
      </c>
      <c r="D2539" t="str">
        <f>HYPERLINK("https://streetviewpixels-pa.googleapis.com/v1/thumbnail?panoid=3RB7be7he8peXYss5ud7Xg&amp;cb_client=search.gws-prod.gps&amp;w=408&amp;h=240&amp;yaw=260.50256&amp;pitch=0&amp;thumbfov=100", "link")</f>
        <v>link</v>
      </c>
    </row>
    <row r="2540" spans="1:4" x14ac:dyDescent="0.45">
      <c r="A2540" t="s">
        <v>2542</v>
      </c>
      <c r="B2540">
        <v>34.049436300000004</v>
      </c>
      <c r="C2540">
        <v>-118.2560074</v>
      </c>
      <c r="D2540" t="str">
        <f>HYPERLINK("https://streetviewpixels-pa.googleapis.com/v1/thumbnail?panoid=gtFEUJAsGwF1U5XO-AUvzA&amp;cb_client=search.gws-prod.gps&amp;w=408&amp;h=240&amp;yaw=22.306215&amp;pitch=0&amp;thumbfov=100", "link")</f>
        <v>link</v>
      </c>
    </row>
    <row r="2541" spans="1:4" x14ac:dyDescent="0.45">
      <c r="A2541" t="s">
        <v>2543</v>
      </c>
      <c r="B2541">
        <v>34.050591300000001</v>
      </c>
      <c r="C2541">
        <v>-118.2516202</v>
      </c>
      <c r="D2541" t="str">
        <f>HYPERLINK("https://streetviewpixels-pa.googleapis.com/v1/thumbnail?panoid=eYnPnlqZlegPil4MNUz49A&amp;cb_client=search.gws-prod.gps&amp;w=408&amp;h=240&amp;yaw=309.64288&amp;pitch=0&amp;thumbfov=100", "link")</f>
        <v>link</v>
      </c>
    </row>
    <row r="2542" spans="1:4" x14ac:dyDescent="0.45">
      <c r="A2542" t="s">
        <v>2544</v>
      </c>
      <c r="B2542">
        <v>34.049112600000001</v>
      </c>
      <c r="C2542">
        <v>-118.2562248</v>
      </c>
      <c r="D2542" t="str">
        <f>HYPERLINK("https://streetviewpixels-pa.googleapis.com/v1/thumbnail?panoid=pdgGrA8fpTwrSw6cUzdBPg&amp;cb_client=search.gws-prod.gps&amp;w=408&amp;h=240&amp;yaw=229.27344&amp;pitch=0&amp;thumbfov=100", "link")</f>
        <v>link</v>
      </c>
    </row>
    <row r="2543" spans="1:4" x14ac:dyDescent="0.45">
      <c r="A2543" t="s">
        <v>2545</v>
      </c>
      <c r="B2543">
        <v>34.0502477</v>
      </c>
      <c r="C2543">
        <v>-118.2509522</v>
      </c>
      <c r="D2543" t="str">
        <f>HYPERLINK("https://lh5.googleusercontent.com/p/AF1QipM0G1sjmufT2pTe0WlSkTK873y6_Yjl8FTsQfNX=w408-h306-k-no", "link")</f>
        <v>link</v>
      </c>
    </row>
    <row r="2544" spans="1:4" x14ac:dyDescent="0.45">
      <c r="A2544" t="s">
        <v>2546</v>
      </c>
      <c r="B2544">
        <v>34.048152399999999</v>
      </c>
      <c r="C2544">
        <v>-118.25652239999999</v>
      </c>
      <c r="D2544" t="str">
        <f>HYPERLINK("https://streetviewpixels-pa.googleapis.com/v1/thumbnail?panoid=AS6Zf4sn3GCMey9wgbFBgw&amp;cb_client=search.gws-prod.gps&amp;w=408&amp;h=240&amp;yaw=216.33264&amp;pitch=0&amp;thumbfov=100", "link")</f>
        <v>link</v>
      </c>
    </row>
    <row r="2545" spans="1:4" x14ac:dyDescent="0.45">
      <c r="A2545" t="s">
        <v>2547</v>
      </c>
      <c r="B2545">
        <v>34.051128599999998</v>
      </c>
      <c r="C2545">
        <v>-118.2543584</v>
      </c>
      <c r="D2545" t="str">
        <f>HYPERLINK("https://lh5.googleusercontent.com/p/AF1QipN5uMJYRfz3LwYrMgqs_5hkHFxW3RQybc46Lhj8=w408-h522-k-no", "link")</f>
        <v>link</v>
      </c>
    </row>
    <row r="2546" spans="1:4" x14ac:dyDescent="0.45">
      <c r="A2546" t="s">
        <v>2548</v>
      </c>
      <c r="B2546">
        <v>34.048556900000001</v>
      </c>
      <c r="C2546">
        <v>-118.2532885</v>
      </c>
      <c r="D2546" t="str">
        <f>HYPERLINK("https://streetviewpixels-pa.googleapis.com/v1/thumbnail?panoid=oGxWeh-JTkUzSsVFkVf4rA&amp;cb_client=search.gws-prod.gps&amp;w=408&amp;h=240&amp;yaw=142.71356&amp;pitch=0&amp;thumbfov=100", "link")</f>
        <v>link</v>
      </c>
    </row>
    <row r="2547" spans="1:4" x14ac:dyDescent="0.45">
      <c r="A2547" t="s">
        <v>2549</v>
      </c>
      <c r="B2547">
        <v>34.048486799999999</v>
      </c>
      <c r="C2547">
        <v>-118.2532152</v>
      </c>
      <c r="D2547" t="str">
        <f>HYPERLINK("https://lh5.googleusercontent.com/p/AF1QipMRB1JeKI3x-I5n0_iGgXSCxmUaIkiLghJtOF3S=w408-h306-k-no", "link")</f>
        <v>link</v>
      </c>
    </row>
    <row r="2548" spans="1:4" x14ac:dyDescent="0.45">
      <c r="A2548" t="s">
        <v>2550</v>
      </c>
      <c r="B2548">
        <v>34.048232400000003</v>
      </c>
      <c r="C2548">
        <v>-118.2542436</v>
      </c>
      <c r="D2548" t="str">
        <f>HYPERLINK("https://streetviewpixels-pa.googleapis.com/v1/thumbnail?panoid=HzonKfoQWdm4IIaj0aX8RQ&amp;cb_client=search.gws-prod.gps&amp;w=408&amp;h=240&amp;yaw=19.743902&amp;pitch=0&amp;thumbfov=100", "link")</f>
        <v>link</v>
      </c>
    </row>
    <row r="2549" spans="1:4" x14ac:dyDescent="0.45">
      <c r="A2549" t="s">
        <v>2551</v>
      </c>
      <c r="B2549">
        <v>34.047612800000003</v>
      </c>
      <c r="C2549">
        <v>-118.25258239999999</v>
      </c>
      <c r="D2549" t="str">
        <f>HYPERLINK("https://streetviewpixels-pa.googleapis.com/v1/thumbnail?panoid=7gzGF9HtFFNPHIQMGgwfnw&amp;cb_client=search.gws-prod.gps&amp;w=408&amp;h=240&amp;yaw=132.8647&amp;pitch=0&amp;thumbfov=100", "link")</f>
        <v>link</v>
      </c>
    </row>
    <row r="2550" spans="1:4" x14ac:dyDescent="0.45">
      <c r="A2550" t="s">
        <v>2552</v>
      </c>
      <c r="B2550">
        <v>34.048242500000001</v>
      </c>
      <c r="C2550">
        <v>-118.2519691</v>
      </c>
      <c r="D2550" t="s">
        <v>5</v>
      </c>
    </row>
    <row r="2551" spans="1:4" x14ac:dyDescent="0.45">
      <c r="A2551" t="s">
        <v>2553</v>
      </c>
      <c r="B2551">
        <v>34.047559999999898</v>
      </c>
      <c r="C2551">
        <v>-118.2540235</v>
      </c>
      <c r="D2551" t="str">
        <f>HYPERLINK("https://lh5.googleusercontent.com/p/AF1QipO8mPXqKNaMPzU1l0wP6Yr_eATtQswf9io1L9tn=w480-h240-k-no", "link")</f>
        <v>link</v>
      </c>
    </row>
    <row r="2552" spans="1:4" x14ac:dyDescent="0.45">
      <c r="A2552" t="s">
        <v>2554</v>
      </c>
      <c r="B2552">
        <v>34.048747599999999</v>
      </c>
      <c r="C2552">
        <v>-118.254718</v>
      </c>
      <c r="D2552" t="str">
        <f>HYPERLINK("https://streetviewpixels-pa.googleapis.com/v1/thumbnail?panoid=dXVrcHtUR3tEgyF4XP6mjA&amp;cb_client=search.gws-prod.gps&amp;w=408&amp;h=240&amp;yaw=51.751232&amp;pitch=0&amp;thumbfov=100", "link")</f>
        <v>link</v>
      </c>
    </row>
    <row r="2553" spans="1:4" x14ac:dyDescent="0.45">
      <c r="A2553" t="s">
        <v>2555</v>
      </c>
      <c r="B2553">
        <v>34.048224300000001</v>
      </c>
      <c r="C2553">
        <v>-118.25184</v>
      </c>
      <c r="D2553" t="s">
        <v>5</v>
      </c>
    </row>
    <row r="2554" spans="1:4" x14ac:dyDescent="0.45">
      <c r="A2554" t="s">
        <v>2556</v>
      </c>
      <c r="B2554">
        <v>34.049114600000003</v>
      </c>
      <c r="C2554">
        <v>-118.2516835</v>
      </c>
      <c r="D2554" t="str">
        <f>HYPERLINK("https://streetviewpixels-pa.googleapis.com/v1/thumbnail?panoid=FFbRktKWGHg1_UUkGKL9Vg&amp;cb_client=search.gws-prod.gps&amp;w=408&amp;h=240&amp;yaw=322.25006&amp;pitch=0&amp;thumbfov=100", "link")</f>
        <v>link</v>
      </c>
    </row>
    <row r="2555" spans="1:4" x14ac:dyDescent="0.45">
      <c r="A2555" t="s">
        <v>2557</v>
      </c>
      <c r="B2555">
        <v>34.0478472</v>
      </c>
      <c r="C2555">
        <v>-118.2548779</v>
      </c>
      <c r="D2555" t="str">
        <f>HYPERLINK("https://lh5.googleusercontent.com/p/AF1QipP55u0fLBKF4MFO3iN70vjboHLkuxE9uRelcwKW=w408-h544-k-no", "link")</f>
        <v>link</v>
      </c>
    </row>
    <row r="2556" spans="1:4" x14ac:dyDescent="0.45">
      <c r="A2556" t="s">
        <v>2558</v>
      </c>
      <c r="B2556">
        <v>34.050095399999996</v>
      </c>
      <c r="C2556">
        <v>-118.25316479999999</v>
      </c>
      <c r="D2556" t="str">
        <f>HYPERLINK("https://lh5.googleusercontent.com/p/AF1QipP7sCwvEEskGE4tzpPA2eaYQTi97Ph8J8tx5Q25=w426-h240-k-no", "link")</f>
        <v>link</v>
      </c>
    </row>
    <row r="2557" spans="1:4" x14ac:dyDescent="0.45">
      <c r="A2557" t="s">
        <v>2559</v>
      </c>
      <c r="B2557">
        <v>34.047264400000003</v>
      </c>
      <c r="C2557">
        <v>-118.254417</v>
      </c>
      <c r="D2557" t="str">
        <f>HYPERLINK("https://streetviewpixels-pa.googleapis.com/v1/thumbnail?panoid=ybQDe2LTf4oNrM8sFKEioA&amp;cb_client=search.gws-prod.gps&amp;w=408&amp;h=240&amp;yaw=186.33809&amp;pitch=0&amp;thumbfov=100", "link")</f>
        <v>link</v>
      </c>
    </row>
    <row r="2558" spans="1:4" x14ac:dyDescent="0.45">
      <c r="A2558" t="s">
        <v>2560</v>
      </c>
      <c r="B2558">
        <v>34.047258900000003</v>
      </c>
      <c r="C2558">
        <v>-118.25441499999999</v>
      </c>
      <c r="D2558" t="str">
        <f>HYPERLINK("https://streetviewpixels-pa.googleapis.com/v1/thumbnail?panoid=ybQDe2LTf4oNrM8sFKEioA&amp;cb_client=search.gws-prod.gps&amp;w=408&amp;h=240&amp;yaw=187.87062&amp;pitch=0&amp;thumbfov=100", "link")</f>
        <v>link</v>
      </c>
    </row>
    <row r="2559" spans="1:4" x14ac:dyDescent="0.45">
      <c r="A2559" t="s">
        <v>2561</v>
      </c>
      <c r="B2559">
        <v>34.047947700000002</v>
      </c>
      <c r="C2559">
        <v>-118.2553576</v>
      </c>
      <c r="D2559" t="str">
        <f>HYPERLINK("https://streetviewpixels-pa.googleapis.com/v1/thumbnail?panoid=bL3xGisrjXIgFLkqKihxtQ&amp;cb_client=search.gws-prod.gps&amp;w=408&amp;h=240&amp;yaw=84.94151&amp;pitch=0&amp;thumbfov=100", "link")</f>
        <v>link</v>
      </c>
    </row>
    <row r="2560" spans="1:4" x14ac:dyDescent="0.45">
      <c r="A2560" t="s">
        <v>2562</v>
      </c>
      <c r="B2560">
        <v>34.047559399999997</v>
      </c>
      <c r="C2560">
        <v>-118.2551359</v>
      </c>
      <c r="D2560" t="str">
        <f>HYPERLINK("https://streetviewpixels-pa.googleapis.com/v1/thumbnail?panoid=2UVxn-N-Xtu2VLqGISpfvg&amp;cb_client=search.gws-prod.gps&amp;w=408&amp;h=240&amp;yaw=322.9251&amp;pitch=0&amp;thumbfov=100", "link")</f>
        <v>link</v>
      </c>
    </row>
    <row r="2561" spans="1:4" x14ac:dyDescent="0.45">
      <c r="A2561" t="s">
        <v>2563</v>
      </c>
      <c r="B2561">
        <v>34.049295100000002</v>
      </c>
      <c r="C2561">
        <v>-118.2553161</v>
      </c>
      <c r="D2561" t="str">
        <f>HYPERLINK("https://streetviewpixels-pa.googleapis.com/v1/thumbnail?panoid=kqejLxJ-EtQrtnEfytUQdg&amp;cb_client=search.gws-prod.gps&amp;w=408&amp;h=240&amp;yaw=37.97428&amp;pitch=0&amp;thumbfov=100", "link")</f>
        <v>link</v>
      </c>
    </row>
    <row r="2562" spans="1:4" x14ac:dyDescent="0.45">
      <c r="A2562" t="s">
        <v>2564</v>
      </c>
      <c r="B2562">
        <v>34.0469705</v>
      </c>
      <c r="C2562">
        <v>-118.25472120000001</v>
      </c>
      <c r="D2562" t="str">
        <f>HYPERLINK("https://streetviewpixels-pa.googleapis.com/v1/thumbnail?panoid=PKgmYdu_ANZZOc1PpEixVQ&amp;cb_client=search.gws-prod.gps&amp;w=408&amp;h=240&amp;yaw=111.60455&amp;pitch=0&amp;thumbfov=100", "link")</f>
        <v>link</v>
      </c>
    </row>
    <row r="2563" spans="1:4" x14ac:dyDescent="0.45">
      <c r="A2563" t="s">
        <v>2565</v>
      </c>
      <c r="B2563">
        <v>34.047963699999997</v>
      </c>
      <c r="C2563">
        <v>-118.44419310000001</v>
      </c>
      <c r="D2563" t="s">
        <v>5</v>
      </c>
    </row>
    <row r="2564" spans="1:4" x14ac:dyDescent="0.45">
      <c r="A2564" t="s">
        <v>2566</v>
      </c>
      <c r="B2564">
        <v>34.048725500000003</v>
      </c>
      <c r="C2564">
        <v>-118.44490039999999</v>
      </c>
      <c r="D2564" t="str">
        <f>HYPERLINK("https://lh5.googleusercontent.com/p/AF1QipN59wlRRuGvKetN2zABfp7onv6Xs9Kjn74lebuo=w408-h544-k-no", "link")</f>
        <v>link</v>
      </c>
    </row>
    <row r="2565" spans="1:4" x14ac:dyDescent="0.45">
      <c r="A2565" t="s">
        <v>2567</v>
      </c>
      <c r="B2565">
        <v>34.046528899999998</v>
      </c>
      <c r="C2565">
        <v>-118.442944</v>
      </c>
      <c r="D2565" t="str">
        <f>HYPERLINK("https://streetviewpixels-pa.googleapis.com/v1/thumbnail?panoid=QHqSQpkYZ_vgdbco4CyeiQ&amp;cb_client=search.gws-prod.gps&amp;w=408&amp;h=240&amp;yaw=62.418&amp;pitch=0&amp;thumbfov=100", "link")</f>
        <v>link</v>
      </c>
    </row>
    <row r="2566" spans="1:4" x14ac:dyDescent="0.45">
      <c r="A2566" t="s">
        <v>2568</v>
      </c>
      <c r="B2566">
        <v>34.049595699999998</v>
      </c>
      <c r="C2566">
        <v>-118.4456533</v>
      </c>
      <c r="D2566" t="s">
        <v>5</v>
      </c>
    </row>
    <row r="2567" spans="1:4" x14ac:dyDescent="0.45">
      <c r="A2567" t="s">
        <v>2569</v>
      </c>
      <c r="B2567">
        <v>34.046284399999998</v>
      </c>
      <c r="C2567">
        <v>-118.442775</v>
      </c>
      <c r="D2567" t="str">
        <f>HYPERLINK("https://streetviewpixels-pa.googleapis.com/v1/thumbnail?panoid=_nAv6B3cSShI7xOIyYPS8w&amp;cb_client=search.gws-prod.gps&amp;w=408&amp;h=240&amp;yaw=43.83246&amp;pitch=0&amp;thumbfov=100", "link")</f>
        <v>link</v>
      </c>
    </row>
    <row r="2568" spans="1:4" x14ac:dyDescent="0.45">
      <c r="A2568" t="s">
        <v>2570</v>
      </c>
      <c r="B2568">
        <v>34.0499267</v>
      </c>
      <c r="C2568">
        <v>-118.445927</v>
      </c>
      <c r="D2568" t="s">
        <v>5</v>
      </c>
    </row>
    <row r="2569" spans="1:4" x14ac:dyDescent="0.45">
      <c r="A2569" t="s">
        <v>2571</v>
      </c>
      <c r="B2569">
        <v>34.050758999999999</v>
      </c>
      <c r="C2569">
        <v>-118.44738719999999</v>
      </c>
      <c r="D2569" t="s">
        <v>5</v>
      </c>
    </row>
    <row r="2570" spans="1:4" x14ac:dyDescent="0.45">
      <c r="A2570" t="s">
        <v>2572</v>
      </c>
      <c r="B2570">
        <v>34.048256299999998</v>
      </c>
      <c r="C2570">
        <v>-118.4428698</v>
      </c>
      <c r="D2570" t="s">
        <v>5</v>
      </c>
    </row>
    <row r="2571" spans="1:4" x14ac:dyDescent="0.45">
      <c r="A2571" t="s">
        <v>2573</v>
      </c>
      <c r="B2571">
        <v>34.050553499999999</v>
      </c>
      <c r="C2571">
        <v>-118.45145100000001</v>
      </c>
      <c r="D2571" t="s">
        <v>5</v>
      </c>
    </row>
    <row r="2572" spans="1:4" x14ac:dyDescent="0.45">
      <c r="A2572" t="s">
        <v>2574</v>
      </c>
      <c r="B2572">
        <v>34.044625600000003</v>
      </c>
      <c r="C2572">
        <v>-118.4550874</v>
      </c>
      <c r="D2572" t="str">
        <f>HYPERLINK("https://streetviewpixels-pa.googleapis.com/v1/thumbnail?panoid=L6r5_SG4nqdZT2VYcHN6kA&amp;cb_client=search.gws-prod.gps&amp;w=408&amp;h=240&amp;yaw=176.89012&amp;pitch=0&amp;thumbfov=100", "link")</f>
        <v>link</v>
      </c>
    </row>
    <row r="2573" spans="1:4" x14ac:dyDescent="0.45">
      <c r="A2573" t="s">
        <v>2575</v>
      </c>
      <c r="B2573">
        <v>34.041499199999997</v>
      </c>
      <c r="C2573">
        <v>-118.44347209999999</v>
      </c>
      <c r="D2573" t="str">
        <f>HYPERLINK("https://lh5.googleusercontent.com/p/AF1QipNevICrXm4r-urLMg3m6-tcXOG4cM67nqf54hNd=w426-h240-k-no", "link")</f>
        <v>link</v>
      </c>
    </row>
    <row r="2574" spans="1:4" x14ac:dyDescent="0.45">
      <c r="A2574" t="s">
        <v>2576</v>
      </c>
      <c r="B2574">
        <v>34.048089499999897</v>
      </c>
      <c r="C2574">
        <v>-118.4414278</v>
      </c>
      <c r="D2574" t="str">
        <f>HYPERLINK("https://streetviewpixels-pa.googleapis.com/v1/thumbnail?panoid=z-R6S5-4Hh0zS2cNx8ksHw&amp;cb_client=search.gws-prod.gps&amp;w=408&amp;h=240&amp;yaw=243.27513&amp;pitch=0&amp;thumbfov=100", "link")</f>
        <v>link</v>
      </c>
    </row>
    <row r="2575" spans="1:4" x14ac:dyDescent="0.45">
      <c r="A2575" t="s">
        <v>2577</v>
      </c>
      <c r="B2575">
        <v>34.0520797</v>
      </c>
      <c r="C2575">
        <v>-118.4477428</v>
      </c>
      <c r="D2575" t="str">
        <f>HYPERLINK("https://streetviewpixels-pa.googleapis.com/v1/thumbnail?panoid=evqm-APpwOKJHXREkJpuTA&amp;cb_client=search.gws-prod.gps&amp;w=408&amp;h=240&amp;yaw=38.679527&amp;pitch=0&amp;thumbfov=100", "link")</f>
        <v>link</v>
      </c>
    </row>
    <row r="2576" spans="1:4" x14ac:dyDescent="0.45">
      <c r="A2576" t="s">
        <v>2578</v>
      </c>
      <c r="B2576">
        <v>34.052333900000001</v>
      </c>
      <c r="C2576">
        <v>-118.4487561</v>
      </c>
      <c r="D2576" t="s">
        <v>5</v>
      </c>
    </row>
    <row r="2577" spans="1:4" x14ac:dyDescent="0.45">
      <c r="A2577" t="s">
        <v>2579</v>
      </c>
      <c r="B2577">
        <v>34.050068400000001</v>
      </c>
      <c r="C2577">
        <v>-118.4545074</v>
      </c>
      <c r="D2577" t="str">
        <f>HYPERLINK("https://streetviewpixels-pa.googleapis.com/v1/thumbnail?panoid=l5gj2vMGZhEH-2ty2DZk4w&amp;cb_client=search.gws-prod.gps&amp;w=408&amp;h=240&amp;yaw=207.06523&amp;pitch=0&amp;thumbfov=100", "link")</f>
        <v>link</v>
      </c>
    </row>
    <row r="2578" spans="1:4" x14ac:dyDescent="0.45">
      <c r="A2578" t="s">
        <v>2580</v>
      </c>
      <c r="B2578">
        <v>34.048195499999999</v>
      </c>
      <c r="C2578">
        <v>-118.44072509999999</v>
      </c>
      <c r="D2578" t="s">
        <v>5</v>
      </c>
    </row>
    <row r="2579" spans="1:4" x14ac:dyDescent="0.45">
      <c r="A2579" t="s">
        <v>2581</v>
      </c>
      <c r="B2579">
        <v>34.051046300000003</v>
      </c>
      <c r="C2579">
        <v>-118.4534264</v>
      </c>
      <c r="D2579" t="str">
        <f>HYPERLINK("https://streetviewpixels-pa.googleapis.com/v1/thumbnail?panoid=p5XmLDPuv2Zk6M2zI2vj6A&amp;cb_client=search.gws-prod.gps&amp;w=408&amp;h=240&amp;yaw=353.7169&amp;pitch=0&amp;thumbfov=100", "link")</f>
        <v>link</v>
      </c>
    </row>
    <row r="2580" spans="1:4" x14ac:dyDescent="0.45">
      <c r="A2580" t="s">
        <v>2582</v>
      </c>
      <c r="B2580">
        <v>34.050173299999898</v>
      </c>
      <c r="C2580">
        <v>-118.4545912</v>
      </c>
      <c r="D2580" t="str">
        <f>HYPERLINK("https://streetviewpixels-pa.googleapis.com/v1/thumbnail?panoid=l5gj2vMGZhEH-2ty2DZk4w&amp;cb_client=search.gws-prod.gps&amp;w=408&amp;h=240&amp;yaw=207.06523&amp;pitch=0&amp;thumbfov=100", "link")</f>
        <v>link</v>
      </c>
    </row>
    <row r="2581" spans="1:4" x14ac:dyDescent="0.45">
      <c r="A2581" t="s">
        <v>2583</v>
      </c>
      <c r="B2581">
        <v>34.042859700000001</v>
      </c>
      <c r="C2581">
        <v>-118.4564637</v>
      </c>
      <c r="D2581" t="str">
        <f>HYPERLINK("https://streetviewpixels-pa.googleapis.com/v1/thumbnail?panoid=kIGQeGA0CgzTfsrWMcd9Ow&amp;cb_client=search.gws-prod.gps&amp;w=408&amp;h=240&amp;yaw=21.212202&amp;pitch=0&amp;thumbfov=100", "link")</f>
        <v>link</v>
      </c>
    </row>
    <row r="2582" spans="1:4" x14ac:dyDescent="0.45">
      <c r="A2582" t="s">
        <v>2584</v>
      </c>
      <c r="B2582">
        <v>34.052962299999997</v>
      </c>
      <c r="C2582">
        <v>-118.44848229999999</v>
      </c>
      <c r="D2582" t="s">
        <v>5</v>
      </c>
    </row>
    <row r="2583" spans="1:4" x14ac:dyDescent="0.45">
      <c r="A2583" t="s">
        <v>2585</v>
      </c>
      <c r="B2583">
        <v>34.045544300000003</v>
      </c>
      <c r="C2583">
        <v>-118.448339</v>
      </c>
      <c r="D2583" t="s">
        <v>5</v>
      </c>
    </row>
    <row r="2584" spans="1:4" x14ac:dyDescent="0.45">
      <c r="A2584" t="s">
        <v>2586</v>
      </c>
      <c r="B2584">
        <v>34.045552100000002</v>
      </c>
      <c r="C2584">
        <v>-118.4483894</v>
      </c>
      <c r="D2584" t="s">
        <v>5</v>
      </c>
    </row>
    <row r="2585" spans="1:4" x14ac:dyDescent="0.45">
      <c r="A2585" t="s">
        <v>2587</v>
      </c>
      <c r="B2585">
        <v>34.0457623</v>
      </c>
      <c r="C2585">
        <v>-118.4496915</v>
      </c>
      <c r="D2585" t="str">
        <f>HYPERLINK("https://streetviewpixels-pa.googleapis.com/v1/thumbnail?panoid=l-1dZcUpK0TcGkfymvpzEQ&amp;cb_client=search.gws-prod.gps&amp;w=408&amp;h=240&amp;yaw=154.13048&amp;pitch=0&amp;thumbfov=100", "link")</f>
        <v>link</v>
      </c>
    </row>
    <row r="2586" spans="1:4" x14ac:dyDescent="0.45">
      <c r="A2586" t="s">
        <v>2588</v>
      </c>
      <c r="B2586">
        <v>34.046582800000003</v>
      </c>
      <c r="C2586">
        <v>-118.4474893</v>
      </c>
      <c r="D2586" t="str">
        <f>HYPERLINK("https://streetviewpixels-pa.googleapis.com/v1/thumbnail?panoid=dRCTNVVuR23mB1amhb3ObA&amp;cb_client=search.gws-prod.gps&amp;w=408&amp;h=240&amp;yaw=228.19118&amp;pitch=0&amp;thumbfov=100", "link")</f>
        <v>link</v>
      </c>
    </row>
    <row r="2587" spans="1:4" x14ac:dyDescent="0.45">
      <c r="A2587" t="s">
        <v>2589</v>
      </c>
      <c r="B2587">
        <v>34.0462135</v>
      </c>
      <c r="C2587">
        <v>-118.44999079999999</v>
      </c>
      <c r="D2587" t="str">
        <f>HYPERLINK("https://streetviewpixels-pa.googleapis.com/v1/thumbnail?panoid=QQFEWM3JJ_wNAwz802XbIA&amp;cb_client=search.gws-prod.gps&amp;w=408&amp;h=240&amp;yaw=31.324482&amp;pitch=0&amp;thumbfov=100", "link")</f>
        <v>link</v>
      </c>
    </row>
    <row r="2588" spans="1:4" x14ac:dyDescent="0.45">
      <c r="A2588" t="s">
        <v>2590</v>
      </c>
      <c r="B2588">
        <v>34.0472538</v>
      </c>
      <c r="C2588">
        <v>-118.4478884</v>
      </c>
      <c r="D2588" t="str">
        <f>HYPERLINK("https://streetviewpixels-pa.googleapis.com/v1/thumbnail?panoid=Xt5J_xZOTfI6Chqi85cr6g&amp;cb_client=search.gws-prod.gps&amp;w=408&amp;h=240&amp;yaw=237.82216&amp;pitch=0&amp;thumbfov=100", "link")</f>
        <v>link</v>
      </c>
    </row>
    <row r="2589" spans="1:4" x14ac:dyDescent="0.45">
      <c r="A2589" t="s">
        <v>2591</v>
      </c>
      <c r="B2589">
        <v>34.046454799999999</v>
      </c>
      <c r="C2589">
        <v>-118.4502616</v>
      </c>
      <c r="D2589" t="s">
        <v>5</v>
      </c>
    </row>
    <row r="2590" spans="1:4" x14ac:dyDescent="0.45">
      <c r="A2590" t="s">
        <v>2592</v>
      </c>
      <c r="B2590">
        <v>34.046481999999997</v>
      </c>
      <c r="C2590">
        <v>-118.4502741</v>
      </c>
      <c r="D2590" t="s">
        <v>5</v>
      </c>
    </row>
    <row r="2591" spans="1:4" x14ac:dyDescent="0.45">
      <c r="A2591" t="s">
        <v>2593</v>
      </c>
      <c r="B2591">
        <v>34.045609300000002</v>
      </c>
      <c r="C2591">
        <v>-118.4507618</v>
      </c>
      <c r="D2591" t="str">
        <f>HYPERLINK("https://streetviewpixels-pa.googleapis.com/v1/thumbnail?panoid=6cB-SCC30_xcUYuqGMplSg&amp;cb_client=search.gws-prod.gps&amp;w=408&amp;h=240&amp;yaw=259.83752&amp;pitch=0&amp;thumbfov=100", "link")</f>
        <v>link</v>
      </c>
    </row>
    <row r="2592" spans="1:4" x14ac:dyDescent="0.45">
      <c r="A2592" t="s">
        <v>2594</v>
      </c>
      <c r="B2592">
        <v>34.045376499999897</v>
      </c>
      <c r="C2592">
        <v>-118.4508106</v>
      </c>
      <c r="D2592" t="str">
        <f>HYPERLINK("https://streetviewpixels-pa.googleapis.com/v1/thumbnail?panoid=3_BSomo8Ch0uyNLGhkl9cw&amp;cb_client=search.gws-prod.gps&amp;w=408&amp;h=240&amp;yaw=25.93402&amp;pitch=0&amp;thumbfov=100", "link")</f>
        <v>link</v>
      </c>
    </row>
    <row r="2593" spans="1:4" x14ac:dyDescent="0.45">
      <c r="A2593" t="s">
        <v>2595</v>
      </c>
      <c r="B2593">
        <v>34.046437300000001</v>
      </c>
      <c r="C2593">
        <v>-118.4508617</v>
      </c>
      <c r="D2593" t="str">
        <f>HYPERLINK("https://streetviewpixels-pa.googleapis.com/v1/thumbnail?panoid=c9ajLF_Kj2NWvzXPvSluAQ&amp;cb_client=search.gws-prod.gps&amp;w=408&amp;h=240&amp;yaw=203.39743&amp;pitch=0&amp;thumbfov=100", "link")</f>
        <v>link</v>
      </c>
    </row>
    <row r="2594" spans="1:4" x14ac:dyDescent="0.45">
      <c r="A2594" t="s">
        <v>2596</v>
      </c>
      <c r="B2594">
        <v>34.043422999999997</v>
      </c>
      <c r="C2594">
        <v>-118.4496863</v>
      </c>
      <c r="D2594" t="str">
        <f>HYPERLINK("https://streetviewpixels-pa.googleapis.com/v1/thumbnail?panoid=iCLUoqfGHLq-oRMRmQccwg&amp;cb_client=search.gws-prod.gps&amp;w=408&amp;h=240&amp;yaw=63.40241&amp;pitch=0&amp;thumbfov=100", "link")</f>
        <v>link</v>
      </c>
    </row>
    <row r="2595" spans="1:4" x14ac:dyDescent="0.45">
      <c r="A2595" t="s">
        <v>2597</v>
      </c>
      <c r="B2595">
        <v>34.046194100000001</v>
      </c>
      <c r="C2595">
        <v>-118.4518747</v>
      </c>
      <c r="D2595" t="s">
        <v>5</v>
      </c>
    </row>
    <row r="2596" spans="1:4" x14ac:dyDescent="0.45">
      <c r="A2596" t="s">
        <v>2598</v>
      </c>
      <c r="B2596">
        <v>34.0460931</v>
      </c>
      <c r="C2596">
        <v>-118.4520184</v>
      </c>
      <c r="D2596" t="s">
        <v>5</v>
      </c>
    </row>
    <row r="2597" spans="1:4" x14ac:dyDescent="0.45">
      <c r="A2597" t="s">
        <v>2599</v>
      </c>
      <c r="B2597">
        <v>34.0451829</v>
      </c>
      <c r="C2597">
        <v>-118.4521032</v>
      </c>
      <c r="D2597" t="str">
        <f>HYPERLINK("https://streetviewpixels-pa.googleapis.com/v1/thumbnail?panoid=U7mtCjC76E0e8I89cIXocQ&amp;cb_client=search.gws-prod.gps&amp;w=408&amp;h=240&amp;yaw=154.36842&amp;pitch=0&amp;thumbfov=100", "link")</f>
        <v>link</v>
      </c>
    </row>
    <row r="2598" spans="1:4" x14ac:dyDescent="0.45">
      <c r="A2598" t="s">
        <v>2600</v>
      </c>
      <c r="B2598">
        <v>34.046098999999998</v>
      </c>
      <c r="C2598">
        <v>-118.4527258</v>
      </c>
      <c r="D2598" t="s">
        <v>5</v>
      </c>
    </row>
    <row r="2599" spans="1:4" x14ac:dyDescent="0.45">
      <c r="A2599" t="s">
        <v>2601</v>
      </c>
      <c r="B2599">
        <v>34.044508999999898</v>
      </c>
      <c r="C2599">
        <v>-118.452764</v>
      </c>
      <c r="D2599" t="s">
        <v>5</v>
      </c>
    </row>
    <row r="2600" spans="1:4" x14ac:dyDescent="0.45">
      <c r="A2600" t="s">
        <v>2602</v>
      </c>
      <c r="B2600">
        <v>34.042468900000003</v>
      </c>
      <c r="C2600">
        <v>-118.4453367</v>
      </c>
      <c r="D2600" t="str">
        <f>HYPERLINK("https://streetviewpixels-pa.googleapis.com/v1/thumbnail?panoid=ooJEDs1my1W9kM3ef4kgFQ&amp;cb_client=search.gws-prod.gps&amp;w=408&amp;h=240&amp;yaw=320.70865&amp;pitch=0&amp;thumbfov=100", "link")</f>
        <v>link</v>
      </c>
    </row>
    <row r="2601" spans="1:4" x14ac:dyDescent="0.45">
      <c r="A2601" t="s">
        <v>2603</v>
      </c>
      <c r="B2601">
        <v>34.045469199999999</v>
      </c>
      <c r="C2601">
        <v>-118.4434261</v>
      </c>
      <c r="D2601" t="str">
        <f>HYPERLINK("https://streetviewpixels-pa.googleapis.com/v1/thumbnail?panoid=-wYEVyTKRa9U7GDbcOc7Dg&amp;cb_client=search.gws-prod.gps&amp;w=408&amp;h=240&amp;yaw=248.98445&amp;pitch=0&amp;thumbfov=100", "link")</f>
        <v>link</v>
      </c>
    </row>
    <row r="2602" spans="1:4" x14ac:dyDescent="0.45">
      <c r="A2602" t="s">
        <v>2604</v>
      </c>
      <c r="B2602">
        <v>34.043927799999999</v>
      </c>
      <c r="C2602">
        <v>-118.45291469999999</v>
      </c>
      <c r="D2602" t="str">
        <f>HYPERLINK("https://streetviewpixels-pa.googleapis.com/v1/thumbnail?panoid=LzpTYVeaXlM8IbPTJDb9JQ&amp;cb_client=search.gws-prod.gps&amp;w=408&amp;h=240&amp;yaw=59.991848&amp;pitch=0&amp;thumbfov=100", "link")</f>
        <v>link</v>
      </c>
    </row>
    <row r="2603" spans="1:4" x14ac:dyDescent="0.45">
      <c r="A2603" t="s">
        <v>2605</v>
      </c>
      <c r="B2603">
        <v>34.059919200000003</v>
      </c>
      <c r="C2603">
        <v>-118.2368932</v>
      </c>
      <c r="D2603" t="str">
        <f>HYPERLINK("https://streetviewpixels-pa.googleapis.com/v1/thumbnail?panoid=ErkF6jY2ZA2Fcv9HwedAug&amp;cb_client=search.gws-prod.gps&amp;w=408&amp;h=240&amp;yaw=57.504944&amp;pitch=0&amp;thumbfov=100", "link")</f>
        <v>link</v>
      </c>
    </row>
    <row r="2604" spans="1:4" x14ac:dyDescent="0.45">
      <c r="A2604" t="s">
        <v>2606</v>
      </c>
      <c r="B2604">
        <v>34.053297600000001</v>
      </c>
      <c r="C2604">
        <v>-118.2388278</v>
      </c>
      <c r="D2604" t="str">
        <f>HYPERLINK("https://streetviewpixels-pa.googleapis.com/v1/thumbnail?panoid=5_Yg51G1Y7pGzbq9Fstzcg&amp;cb_client=search.gws-prod.gps&amp;w=408&amp;h=240&amp;yaw=43.41993&amp;pitch=0&amp;thumbfov=100", "link")</f>
        <v>link</v>
      </c>
    </row>
    <row r="2605" spans="1:4" x14ac:dyDescent="0.45">
      <c r="A2605" t="s">
        <v>2607</v>
      </c>
      <c r="B2605">
        <v>34.057759300000001</v>
      </c>
      <c r="C2605">
        <v>-118.23895690000001</v>
      </c>
      <c r="D2605" t="s">
        <v>5</v>
      </c>
    </row>
    <row r="2606" spans="1:4" x14ac:dyDescent="0.45">
      <c r="A2606" t="s">
        <v>2608</v>
      </c>
      <c r="B2606">
        <v>34.050034199999999</v>
      </c>
      <c r="C2606">
        <v>-118.2342969</v>
      </c>
      <c r="D2606" t="str">
        <f>HYPERLINK("https://streetviewpixels-pa.googleapis.com/v1/thumbnail?panoid=HcHJ7_L_Qs5dtmvqee0YWg&amp;cb_client=search.gws-prod.gps&amp;w=408&amp;h=240&amp;yaw=211.4986&amp;pitch=0&amp;thumbfov=100", "link")</f>
        <v>link</v>
      </c>
    </row>
    <row r="2607" spans="1:4" x14ac:dyDescent="0.45">
      <c r="A2607" t="s">
        <v>2609</v>
      </c>
      <c r="B2607">
        <v>34.059642099999998</v>
      </c>
      <c r="C2607">
        <v>-118.2376156</v>
      </c>
      <c r="D2607" t="str">
        <f>HYPERLINK("https://streetviewpixels-pa.googleapis.com/v1/thumbnail?panoid=AMJphDiZrWz3qoigObs4Qw&amp;cb_client=search.gws-prod.gps&amp;w=408&amp;h=240&amp;yaw=166.19855&amp;pitch=0&amp;thumbfov=100", "link")</f>
        <v>link</v>
      </c>
    </row>
    <row r="2608" spans="1:4" x14ac:dyDescent="0.45">
      <c r="A2608" t="s">
        <v>2610</v>
      </c>
      <c r="B2608">
        <v>34.049810000000001</v>
      </c>
      <c r="C2608">
        <v>-118.23206999999999</v>
      </c>
      <c r="D2608" t="str">
        <f>HYPERLINK("https://streetviewpixels-pa.googleapis.com/v1/thumbnail?panoid=2yn4dkqHqMIb5t6GVL_osQ&amp;cb_client=search.gws-prod.gps&amp;w=408&amp;h=240&amp;yaw=207.4285&amp;pitch=0&amp;thumbfov=100", "link")</f>
        <v>link</v>
      </c>
    </row>
    <row r="2609" spans="1:4" x14ac:dyDescent="0.45">
      <c r="A2609" t="s">
        <v>2611</v>
      </c>
      <c r="B2609">
        <v>34.049553799999998</v>
      </c>
      <c r="C2609">
        <v>-118.2342969</v>
      </c>
      <c r="D2609" t="s">
        <v>5</v>
      </c>
    </row>
    <row r="2610" spans="1:4" x14ac:dyDescent="0.45">
      <c r="A2610" t="s">
        <v>2612</v>
      </c>
      <c r="B2610">
        <v>34.0597961</v>
      </c>
      <c r="C2610">
        <v>-118.2383526</v>
      </c>
      <c r="D2610" t="str">
        <f>HYPERLINK("https://streetviewpixels-pa.googleapis.com/v1/thumbnail?panoid=1FaBHVamYzyySGzpeJhnxA&amp;cb_client=search.gws-prod.gps&amp;w=408&amp;h=240&amp;yaw=277.90253&amp;pitch=0&amp;thumbfov=100", "link")</f>
        <v>link</v>
      </c>
    </row>
    <row r="2611" spans="1:4" x14ac:dyDescent="0.45">
      <c r="A2611" t="s">
        <v>2613</v>
      </c>
      <c r="B2611">
        <v>34.061544400000002</v>
      </c>
      <c r="C2611">
        <v>-118.2293597</v>
      </c>
      <c r="D2611" t="s">
        <v>5</v>
      </c>
    </row>
    <row r="2612" spans="1:4" x14ac:dyDescent="0.45">
      <c r="A2612" t="s">
        <v>2614</v>
      </c>
      <c r="B2612">
        <v>34.049928199999997</v>
      </c>
      <c r="C2612">
        <v>-118.2364164</v>
      </c>
      <c r="D2612" t="s">
        <v>5</v>
      </c>
    </row>
    <row r="2613" spans="1:4" x14ac:dyDescent="0.45">
      <c r="A2613" t="s">
        <v>2615</v>
      </c>
      <c r="B2613">
        <v>34.050302299999998</v>
      </c>
      <c r="C2613">
        <v>-118.2373185</v>
      </c>
      <c r="D2613" t="str">
        <f>HYPERLINK("https://lh5.googleusercontent.com/p/AF1QipO3ZHVaiYRpYGYmL5XK7WeWBVtB0-sQQnb9n0iQ=w426-h240-k-no", "link")</f>
        <v>link</v>
      </c>
    </row>
    <row r="2614" spans="1:4" x14ac:dyDescent="0.45">
      <c r="A2614" t="s">
        <v>2616</v>
      </c>
      <c r="B2614">
        <v>34.0563456</v>
      </c>
      <c r="C2614">
        <v>-118.24051679999999</v>
      </c>
      <c r="D2614" t="s">
        <v>5</v>
      </c>
    </row>
    <row r="2615" spans="1:4" x14ac:dyDescent="0.45">
      <c r="A2615" t="s">
        <v>2617</v>
      </c>
      <c r="B2615">
        <v>34.0493497</v>
      </c>
      <c r="C2615">
        <v>-118.23575889999999</v>
      </c>
      <c r="D2615" t="s">
        <v>5</v>
      </c>
    </row>
    <row r="2616" spans="1:4" x14ac:dyDescent="0.45">
      <c r="A2616" t="s">
        <v>2618</v>
      </c>
      <c r="B2616">
        <v>34.060966200000003</v>
      </c>
      <c r="C2616">
        <v>-118.2377948</v>
      </c>
      <c r="D2616" t="str">
        <f>HYPERLINK("https://streetviewpixels-pa.googleapis.com/v1/thumbnail?panoid=u7CJ8ncM3uDu1jaldE5g8w&amp;cb_client=search.gws-prod.gps&amp;w=408&amp;h=240&amp;yaw=64.599464&amp;pitch=0&amp;thumbfov=100", "link")</f>
        <v>link</v>
      </c>
    </row>
    <row r="2617" spans="1:4" x14ac:dyDescent="0.45">
      <c r="A2617" t="s">
        <v>2619</v>
      </c>
      <c r="B2617">
        <v>34.059435200000003</v>
      </c>
      <c r="C2617">
        <v>-118.2394595</v>
      </c>
      <c r="D2617" t="s">
        <v>5</v>
      </c>
    </row>
    <row r="2618" spans="1:4" x14ac:dyDescent="0.45">
      <c r="A2618" t="s">
        <v>2620</v>
      </c>
      <c r="B2618">
        <v>34.049850499999899</v>
      </c>
      <c r="C2618">
        <v>-118.2371796</v>
      </c>
      <c r="D2618" t="str">
        <f>HYPERLINK("https://streetviewpixels-pa.googleapis.com/v1/thumbnail?panoid=2YufkoCf6AN_5Iz_J47xrA&amp;cb_client=search.gws-prod.gps&amp;w=408&amp;h=240&amp;yaw=79.97951&amp;pitch=0&amp;thumbfov=100", "link")</f>
        <v>link</v>
      </c>
    </row>
    <row r="2619" spans="1:4" x14ac:dyDescent="0.45">
      <c r="A2619" t="s">
        <v>2621</v>
      </c>
      <c r="B2619">
        <v>34.0492104</v>
      </c>
      <c r="C2619">
        <v>-118.2358826</v>
      </c>
      <c r="D2619" t="s">
        <v>5</v>
      </c>
    </row>
    <row r="2620" spans="1:4" x14ac:dyDescent="0.45">
      <c r="A2620" t="s">
        <v>2622</v>
      </c>
      <c r="B2620">
        <v>34.0596101</v>
      </c>
      <c r="C2620">
        <v>-118.2394875</v>
      </c>
      <c r="D2620" t="str">
        <f>HYPERLINK("https://streetviewpixels-pa.googleapis.com/v1/thumbnail?panoid=-uRDzlyxnX7TdYXZFb2Emw&amp;cb_client=search.gws-prod.gps&amp;w=408&amp;h=240&amp;yaw=125.59452&amp;pitch=0&amp;thumbfov=100", "link")</f>
        <v>link</v>
      </c>
    </row>
    <row r="2621" spans="1:4" x14ac:dyDescent="0.45">
      <c r="A2621" t="s">
        <v>2623</v>
      </c>
      <c r="B2621">
        <v>34.059610399999997</v>
      </c>
      <c r="C2621">
        <v>-118.2394874</v>
      </c>
      <c r="D2621" t="str">
        <f>HYPERLINK("https://streetviewpixels-pa.googleapis.com/v1/thumbnail?panoid=-uRDzlyxnX7TdYXZFb2Emw&amp;cb_client=search.gws-prod.gps&amp;w=408&amp;h=240&amp;yaw=125.59452&amp;pitch=0&amp;thumbfov=100", "link")</f>
        <v>link</v>
      </c>
    </row>
    <row r="2622" spans="1:4" x14ac:dyDescent="0.45">
      <c r="A2622" t="s">
        <v>2624</v>
      </c>
      <c r="B2622">
        <v>34.060582699999998</v>
      </c>
      <c r="C2622">
        <v>-118.2385469</v>
      </c>
      <c r="D2622" t="str">
        <f>HYPERLINK("https://streetviewpixels-pa.googleapis.com/v1/thumbnail?panoid=llRcZ4giHe0ijSrjT5HHJQ&amp;cb_client=search.gws-prod.gps&amp;w=408&amp;h=240&amp;yaw=281.16437&amp;pitch=0&amp;thumbfov=100", "link")</f>
        <v>link</v>
      </c>
    </row>
    <row r="2623" spans="1:4" x14ac:dyDescent="0.45">
      <c r="A2623" t="s">
        <v>2625</v>
      </c>
      <c r="B2623">
        <v>34.055638299999899</v>
      </c>
      <c r="C2623">
        <v>-118.23250899999999</v>
      </c>
      <c r="D2623" t="str">
        <f>HYPERLINK("https://streetviewpixels-pa.googleapis.com/v1/thumbnail?panoid=zj4ldLwLwnl6m2Afjob7Vg&amp;cb_client=search.gws-prod.gps&amp;w=408&amp;h=240&amp;yaw=286.9851&amp;pitch=0&amp;thumbfov=100", "link")</f>
        <v>link</v>
      </c>
    </row>
    <row r="2624" spans="1:4" x14ac:dyDescent="0.45">
      <c r="A2624" t="s">
        <v>2626</v>
      </c>
      <c r="B2624">
        <v>34.055087700000001</v>
      </c>
      <c r="C2624">
        <v>-118.23231490000001</v>
      </c>
      <c r="D2624" t="s">
        <v>5</v>
      </c>
    </row>
    <row r="2625" spans="1:4" x14ac:dyDescent="0.45">
      <c r="A2625" t="s">
        <v>2627</v>
      </c>
      <c r="B2625">
        <v>34.056273599999997</v>
      </c>
      <c r="C2625">
        <v>-118.23267610000001</v>
      </c>
      <c r="D2625" t="str">
        <f>HYPERLINK("https://streetviewpixels-pa.googleapis.com/v1/thumbnail?panoid=LYAf8VMW0R8WMcEAER8BoQ&amp;cb_client=search.gws-prod.gps&amp;w=408&amp;h=240&amp;yaw=23.970957&amp;pitch=0&amp;thumbfov=100", "link")</f>
        <v>link</v>
      </c>
    </row>
    <row r="2626" spans="1:4" x14ac:dyDescent="0.45">
      <c r="A2626" t="s">
        <v>2628</v>
      </c>
      <c r="B2626">
        <v>34.056830799999901</v>
      </c>
      <c r="C2626">
        <v>-118.2322585</v>
      </c>
      <c r="D2626" t="str">
        <f>HYPERLINK("https://lh5.googleusercontent.com/p/AF1QipNehJytDZmA8iwP7k5KS487TQYcZ_qtz0EuRZZ0=w426-h240-k-no", "link")</f>
        <v>link</v>
      </c>
    </row>
    <row r="2627" spans="1:4" x14ac:dyDescent="0.45">
      <c r="A2627" t="s">
        <v>2629</v>
      </c>
      <c r="B2627">
        <v>34.056855900000002</v>
      </c>
      <c r="C2627">
        <v>-118.2330702</v>
      </c>
      <c r="D2627" t="s">
        <v>5</v>
      </c>
    </row>
    <row r="2628" spans="1:4" x14ac:dyDescent="0.45">
      <c r="A2628" t="s">
        <v>2630</v>
      </c>
      <c r="B2628">
        <v>34.056625699999998</v>
      </c>
      <c r="C2628">
        <v>-118.23523350000001</v>
      </c>
      <c r="D2628" t="s">
        <v>5</v>
      </c>
    </row>
    <row r="2629" spans="1:4" x14ac:dyDescent="0.45">
      <c r="A2629" t="s">
        <v>2631</v>
      </c>
      <c r="B2629">
        <v>34.056212599999903</v>
      </c>
      <c r="C2629">
        <v>-118.2364899</v>
      </c>
      <c r="D2629" t="str">
        <f>HYPERLINK("https://streetviewpixels-pa.googleapis.com/v1/thumbnail?panoid=8k4hoxMAHVie7VYrdgcCLw&amp;cb_client=search.gws-prod.gps&amp;w=408&amp;h=240&amp;yaw=63.737396&amp;pitch=0&amp;thumbfov=100", "link")</f>
        <v>link</v>
      </c>
    </row>
    <row r="2630" spans="1:4" x14ac:dyDescent="0.45">
      <c r="A2630" t="s">
        <v>2632</v>
      </c>
      <c r="B2630">
        <v>34.056219599999999</v>
      </c>
      <c r="C2630">
        <v>-118.2365021</v>
      </c>
      <c r="D2630" t="str">
        <f>HYPERLINK("https://streetviewpixels-pa.googleapis.com/v1/thumbnail?panoid=8k4hoxMAHVie7VYrdgcCLw&amp;cb_client=search.gws-prod.gps&amp;w=408&amp;h=240&amp;yaw=63.737396&amp;pitch=0&amp;thumbfov=100", "link")</f>
        <v>link</v>
      </c>
    </row>
    <row r="2631" spans="1:4" x14ac:dyDescent="0.45">
      <c r="A2631" t="s">
        <v>2633</v>
      </c>
      <c r="B2631">
        <v>34.052294699999997</v>
      </c>
      <c r="C2631">
        <v>-118.2310073</v>
      </c>
      <c r="D2631" t="s">
        <v>5</v>
      </c>
    </row>
    <row r="2632" spans="1:4" x14ac:dyDescent="0.45">
      <c r="A2632" t="s">
        <v>2634</v>
      </c>
      <c r="B2632">
        <v>34.0557102</v>
      </c>
      <c r="C2632">
        <v>-118.2372208</v>
      </c>
      <c r="D2632" t="s">
        <v>5</v>
      </c>
    </row>
    <row r="2633" spans="1:4" x14ac:dyDescent="0.45">
      <c r="A2633" t="s">
        <v>2635</v>
      </c>
      <c r="B2633">
        <v>34.056876500000001</v>
      </c>
      <c r="C2633">
        <v>-118.23703810000001</v>
      </c>
      <c r="D2633" t="s">
        <v>5</v>
      </c>
    </row>
    <row r="2634" spans="1:4" x14ac:dyDescent="0.45">
      <c r="A2634" t="s">
        <v>2636</v>
      </c>
      <c r="B2634">
        <v>34.057821699999998</v>
      </c>
      <c r="C2634">
        <v>-118.2368805</v>
      </c>
      <c r="D2634" t="s">
        <v>5</v>
      </c>
    </row>
    <row r="2635" spans="1:4" x14ac:dyDescent="0.45">
      <c r="A2635" t="s">
        <v>2637</v>
      </c>
      <c r="B2635">
        <v>34.058406099999999</v>
      </c>
      <c r="C2635">
        <v>-118.23659309999999</v>
      </c>
      <c r="D2635" t="str">
        <f>HYPERLINK("https://streetviewpixels-pa.googleapis.com/v1/thumbnail?panoid=dCl6Mo60eJFXlCKjYYwv0Q&amp;cb_client=search.gws-prod.gps&amp;w=408&amp;h=240&amp;yaw=93.2809&amp;pitch=0&amp;thumbfov=100", "link")</f>
        <v>link</v>
      </c>
    </row>
    <row r="2636" spans="1:4" x14ac:dyDescent="0.45">
      <c r="A2636" t="s">
        <v>2638</v>
      </c>
      <c r="B2636">
        <v>34.053144799999998</v>
      </c>
      <c r="C2636">
        <v>-118.23697730000001</v>
      </c>
      <c r="D2636" t="str">
        <f>HYPERLINK("https://streetviewpixels-pa.googleapis.com/v1/thumbnail?panoid=Zcft0u9S8jQ6jDGBl0_vZQ&amp;cb_client=search.gws-prod.gps&amp;w=408&amp;h=240&amp;yaw=327.94943&amp;pitch=0&amp;thumbfov=100", "link")</f>
        <v>link</v>
      </c>
    </row>
    <row r="2637" spans="1:4" x14ac:dyDescent="0.45">
      <c r="A2637" t="s">
        <v>2639</v>
      </c>
      <c r="B2637">
        <v>34.057746100000003</v>
      </c>
      <c r="C2637">
        <v>-118.23740359999999</v>
      </c>
      <c r="D2637" t="s">
        <v>5</v>
      </c>
    </row>
    <row r="2638" spans="1:4" x14ac:dyDescent="0.45">
      <c r="A2638" t="s">
        <v>2640</v>
      </c>
      <c r="B2638">
        <v>34.057282100000002</v>
      </c>
      <c r="C2638">
        <v>-118.2379404</v>
      </c>
      <c r="D2638" t="s">
        <v>5</v>
      </c>
    </row>
    <row r="2639" spans="1:4" x14ac:dyDescent="0.45">
      <c r="A2639" t="s">
        <v>2641</v>
      </c>
      <c r="B2639">
        <v>34.059854899999998</v>
      </c>
      <c r="C2639">
        <v>-118.2353916</v>
      </c>
      <c r="D2639" t="str">
        <f>HYPERLINK("https://streetviewpixels-pa.googleapis.com/v1/thumbnail?panoid=3xNUKXw3CDfFKvp6usmMKw&amp;cb_client=search.gws-prod.gps&amp;w=408&amp;h=240&amp;yaw=323.27866&amp;pitch=0&amp;thumbfov=100", "link")</f>
        <v>link</v>
      </c>
    </row>
    <row r="2640" spans="1:4" x14ac:dyDescent="0.45">
      <c r="A2640" t="s">
        <v>2642</v>
      </c>
      <c r="B2640">
        <v>34.055520000000001</v>
      </c>
      <c r="C2640">
        <v>-118.2385926</v>
      </c>
      <c r="D2640" t="s">
        <v>5</v>
      </c>
    </row>
    <row r="2641" spans="1:4" x14ac:dyDescent="0.45">
      <c r="A2641" t="s">
        <v>2643</v>
      </c>
      <c r="B2641">
        <v>34.050278499999997</v>
      </c>
      <c r="C2641">
        <v>-118.2329313</v>
      </c>
      <c r="D2641" t="str">
        <f>HYPERLINK("https://lh5.googleusercontent.com/p/AF1QipPwq4uvg2F9_F39IcCtXLQRLEa1FWPdvPpJP1II=w408-h839-k-no", "link")</f>
        <v>link</v>
      </c>
    </row>
    <row r="2642" spans="1:4" x14ac:dyDescent="0.45">
      <c r="A2642" t="s">
        <v>2644</v>
      </c>
      <c r="B2642">
        <v>34.046662900000001</v>
      </c>
      <c r="C2642">
        <v>-118.2458377</v>
      </c>
      <c r="D2642" t="str">
        <f>HYPERLINK("https://streetviewpixels-pa.googleapis.com/v1/thumbnail?panoid=u-8Dzz1-9xwgqe7cJ6JnHQ&amp;cb_client=search.gws-prod.gps&amp;w=408&amp;h=240&amp;yaw=200.78516&amp;pitch=0&amp;thumbfov=100", "link")</f>
        <v>link</v>
      </c>
    </row>
    <row r="2643" spans="1:4" x14ac:dyDescent="0.45">
      <c r="A2643" t="s">
        <v>2645</v>
      </c>
      <c r="B2643">
        <v>34.049627800000003</v>
      </c>
      <c r="C2643">
        <v>-118.2478878</v>
      </c>
      <c r="D2643" t="str">
        <f>HYPERLINK("https://streetviewpixels-pa.googleapis.com/v1/thumbnail?panoid=VG479DeXqm-t2KsiZPmG3w&amp;cb_client=search.gws-prod.gps&amp;w=408&amp;h=240&amp;yaw=271.1366&amp;pitch=0&amp;thumbfov=100", "link")</f>
        <v>link</v>
      </c>
    </row>
    <row r="2644" spans="1:4" x14ac:dyDescent="0.45">
      <c r="A2644" t="s">
        <v>2646</v>
      </c>
      <c r="B2644">
        <v>34.048662299999897</v>
      </c>
      <c r="C2644">
        <v>-118.2456961</v>
      </c>
      <c r="D2644" t="str">
        <f>HYPERLINK("https://lh5.googleusercontent.com/p/AF1QipNtRlHGsQLmUGiSSKnaQkduCqqvpMnSkMLOLCvP=w408-h544-k-no", "link")</f>
        <v>link</v>
      </c>
    </row>
    <row r="2645" spans="1:4" x14ac:dyDescent="0.45">
      <c r="A2645" t="s">
        <v>2647</v>
      </c>
      <c r="B2645">
        <v>34.049759399999999</v>
      </c>
      <c r="C2645">
        <v>-118.2476604</v>
      </c>
      <c r="D2645" t="str">
        <f>HYPERLINK("https://streetviewpixels-pa.googleapis.com/v1/thumbnail?panoid=VG479DeXqm-t2KsiZPmG3w&amp;cb_client=search.gws-prod.gps&amp;w=408&amp;h=240&amp;yaw=271.1366&amp;pitch=0&amp;thumbfov=100", "link")</f>
        <v>link</v>
      </c>
    </row>
    <row r="2646" spans="1:4" x14ac:dyDescent="0.45">
      <c r="A2646" t="s">
        <v>2648</v>
      </c>
      <c r="B2646">
        <v>34.0471389</v>
      </c>
      <c r="C2646">
        <v>-118.2453441</v>
      </c>
      <c r="D2646" t="s">
        <v>5</v>
      </c>
    </row>
    <row r="2647" spans="1:4" x14ac:dyDescent="0.45">
      <c r="A2647" t="s">
        <v>2649</v>
      </c>
      <c r="B2647">
        <v>34.045412899999903</v>
      </c>
      <c r="C2647">
        <v>-118.2474019</v>
      </c>
      <c r="D2647" t="str">
        <f>HYPERLINK("https://streetviewpixels-pa.googleapis.com/v1/thumbnail?panoid=q2xvAlfAQRWNwF0z8v0eJQ&amp;cb_client=search.gws-prod.gps&amp;w=408&amp;h=240&amp;yaw=123.87307&amp;pitch=0&amp;thumbfov=100", "link")</f>
        <v>link</v>
      </c>
    </row>
    <row r="2648" spans="1:4" x14ac:dyDescent="0.45">
      <c r="A2648" t="s">
        <v>2650</v>
      </c>
      <c r="B2648">
        <v>34.0498829</v>
      </c>
      <c r="C2648">
        <v>-118.2477653</v>
      </c>
      <c r="D2648" t="str">
        <f>HYPERLINK("https://streetviewpixels-pa.googleapis.com/v1/thumbnail?panoid=VG479DeXqm-t2KsiZPmG3w&amp;cb_client=search.gws-prod.gps&amp;w=408&amp;h=240&amp;yaw=271.1366&amp;pitch=0&amp;thumbfov=100", "link")</f>
        <v>link</v>
      </c>
    </row>
    <row r="2649" spans="1:4" x14ac:dyDescent="0.45">
      <c r="A2649" t="s">
        <v>2651</v>
      </c>
      <c r="B2649">
        <v>34.046982</v>
      </c>
      <c r="C2649">
        <v>-118.2452615</v>
      </c>
      <c r="D2649" t="s">
        <v>5</v>
      </c>
    </row>
    <row r="2650" spans="1:4" x14ac:dyDescent="0.45">
      <c r="A2650" t="s">
        <v>2652</v>
      </c>
      <c r="B2650">
        <v>34.045780399999998</v>
      </c>
      <c r="C2650">
        <v>-118.2463044</v>
      </c>
      <c r="D2650" t="str">
        <f>HYPERLINK("https://streetviewpixels-pa.googleapis.com/v1/thumbnail?panoid=2I7C4gYIpbvwAJ6ct4slqA&amp;cb_client=search.gws-prod.gps&amp;w=408&amp;h=240&amp;yaw=195.26523&amp;pitch=0&amp;thumbfov=100", "link")</f>
        <v>link</v>
      </c>
    </row>
    <row r="2651" spans="1:4" x14ac:dyDescent="0.45">
      <c r="A2651" t="s">
        <v>2653</v>
      </c>
      <c r="B2651">
        <v>34.047631799999998</v>
      </c>
      <c r="C2651">
        <v>-118.2478687</v>
      </c>
      <c r="D2651" t="str">
        <f>HYPERLINK("https://streetviewpixels-pa.googleapis.com/v1/thumbnail?panoid=8DxJMCKL5_cxNauLnsvFpA&amp;cb_client=search.gws-prod.gps&amp;w=408&amp;h=240&amp;yaw=297.01337&amp;pitch=0&amp;thumbfov=100", "link")</f>
        <v>link</v>
      </c>
    </row>
    <row r="2652" spans="1:4" x14ac:dyDescent="0.45">
      <c r="A2652" t="s">
        <v>2654</v>
      </c>
      <c r="B2652">
        <v>34.047481099999999</v>
      </c>
      <c r="C2652">
        <v>-118.247334</v>
      </c>
      <c r="D2652" t="s">
        <v>5</v>
      </c>
    </row>
    <row r="2653" spans="1:4" x14ac:dyDescent="0.45">
      <c r="A2653" t="s">
        <v>2655</v>
      </c>
      <c r="B2653">
        <v>34.0474417</v>
      </c>
      <c r="C2653">
        <v>-118.2472717</v>
      </c>
      <c r="D2653" t="s">
        <v>5</v>
      </c>
    </row>
    <row r="2654" spans="1:4" x14ac:dyDescent="0.45">
      <c r="A2654" t="s">
        <v>2656</v>
      </c>
      <c r="B2654">
        <v>34.048352000000001</v>
      </c>
      <c r="C2654">
        <v>-118.2477674</v>
      </c>
      <c r="D2654" t="str">
        <f>HYPERLINK("https://streetviewpixels-pa.googleapis.com/v1/thumbnail?panoid=J1IX0r9xGoEus5OA6mux8A&amp;cb_client=search.gws-prod.gps&amp;w=408&amp;h=240&amp;yaw=206.24352&amp;pitch=0&amp;thumbfov=100", "link")</f>
        <v>link</v>
      </c>
    </row>
    <row r="2655" spans="1:4" x14ac:dyDescent="0.45">
      <c r="A2655" t="s">
        <v>2657</v>
      </c>
      <c r="B2655">
        <v>34.048485100000001</v>
      </c>
      <c r="C2655">
        <v>-118.2475592</v>
      </c>
      <c r="D2655" t="str">
        <f>HYPERLINK("https://streetviewpixels-pa.googleapis.com/v1/thumbnail?panoid=nbmMhOjenC8b3_vNdcEw7A&amp;cb_client=search.gws-prod.gps&amp;w=408&amp;h=240&amp;yaw=33.437748&amp;pitch=0&amp;thumbfov=100", "link")</f>
        <v>link</v>
      </c>
    </row>
    <row r="2656" spans="1:4" x14ac:dyDescent="0.45">
      <c r="A2656" t="s">
        <v>2658</v>
      </c>
      <c r="B2656">
        <v>34.047711200000002</v>
      </c>
      <c r="C2656">
        <v>-118.24654719999999</v>
      </c>
      <c r="D2656" t="s">
        <v>5</v>
      </c>
    </row>
    <row r="2657" spans="1:4" x14ac:dyDescent="0.45">
      <c r="A2657" t="s">
        <v>2659</v>
      </c>
      <c r="B2657">
        <v>34.047629399999899</v>
      </c>
      <c r="C2657">
        <v>-118.2463941</v>
      </c>
      <c r="D2657" t="s">
        <v>5</v>
      </c>
    </row>
    <row r="2658" spans="1:4" x14ac:dyDescent="0.45">
      <c r="A2658" t="s">
        <v>2660</v>
      </c>
      <c r="B2658">
        <v>34.048838500000002</v>
      </c>
      <c r="C2658">
        <v>-118.2487335</v>
      </c>
      <c r="D2658" t="s">
        <v>5</v>
      </c>
    </row>
    <row r="2659" spans="1:4" x14ac:dyDescent="0.45">
      <c r="A2659" t="s">
        <v>2661</v>
      </c>
      <c r="B2659">
        <v>34.0488255</v>
      </c>
      <c r="C2659">
        <v>-118.24876449999999</v>
      </c>
      <c r="D2659" t="s">
        <v>5</v>
      </c>
    </row>
    <row r="2660" spans="1:4" x14ac:dyDescent="0.45">
      <c r="A2660" t="s">
        <v>2662</v>
      </c>
      <c r="B2660">
        <v>34.048991399999998</v>
      </c>
      <c r="C2660">
        <v>-118.24731730000001</v>
      </c>
      <c r="D2660" t="s">
        <v>5</v>
      </c>
    </row>
    <row r="2661" spans="1:4" x14ac:dyDescent="0.45">
      <c r="A2661" t="s">
        <v>2663</v>
      </c>
      <c r="B2661">
        <v>34.049030100000003</v>
      </c>
      <c r="C2661">
        <v>-118.24746639999999</v>
      </c>
      <c r="D2661" t="s">
        <v>5</v>
      </c>
    </row>
    <row r="2662" spans="1:4" x14ac:dyDescent="0.45">
      <c r="A2662" t="s">
        <v>2664</v>
      </c>
      <c r="B2662">
        <v>34.049089700000003</v>
      </c>
      <c r="C2662">
        <v>-118.24836809999999</v>
      </c>
      <c r="D2662" t="s">
        <v>5</v>
      </c>
    </row>
    <row r="2663" spans="1:4" x14ac:dyDescent="0.45">
      <c r="A2663" t="s">
        <v>2665</v>
      </c>
      <c r="B2663">
        <v>34.050414699999997</v>
      </c>
      <c r="C2663">
        <v>-118.2497944</v>
      </c>
      <c r="D2663" t="s">
        <v>5</v>
      </c>
    </row>
    <row r="2664" spans="1:4" x14ac:dyDescent="0.45">
      <c r="A2664" t="s">
        <v>2666</v>
      </c>
      <c r="B2664">
        <v>34.050486499999998</v>
      </c>
      <c r="C2664">
        <v>-118.24982989999999</v>
      </c>
      <c r="D2664" t="s">
        <v>5</v>
      </c>
    </row>
    <row r="2665" spans="1:4" x14ac:dyDescent="0.45">
      <c r="A2665" t="s">
        <v>2667</v>
      </c>
      <c r="B2665">
        <v>34.050263800000003</v>
      </c>
      <c r="C2665">
        <v>-118.2487407</v>
      </c>
      <c r="D2665" t="s">
        <v>5</v>
      </c>
    </row>
    <row r="2666" spans="1:4" x14ac:dyDescent="0.45">
      <c r="A2666" t="s">
        <v>2668</v>
      </c>
      <c r="B2666">
        <v>34.049866399999999</v>
      </c>
      <c r="C2666">
        <v>-118.2502046</v>
      </c>
      <c r="D2666" t="str">
        <f>HYPERLINK("https://streetviewpixels-pa.googleapis.com/v1/thumbnail?panoid=3RB7be7he8peXYss5ud7Xg&amp;cb_client=search.gws-prod.gps&amp;w=408&amp;h=240&amp;yaw=279.56396&amp;pitch=0&amp;thumbfov=100", "link")</f>
        <v>link</v>
      </c>
    </row>
    <row r="2667" spans="1:4" x14ac:dyDescent="0.45">
      <c r="A2667" t="s">
        <v>2669</v>
      </c>
      <c r="B2667">
        <v>34.048847899999998</v>
      </c>
      <c r="C2667">
        <v>-118.26258559999999</v>
      </c>
      <c r="D2667" t="str">
        <f>HYPERLINK("https://lh5.googleusercontent.com/p/AF1QipN8hngy7_XDoLe0EaDo0EDaubtwlw_Knhr4mBXB=w408-h544-k-no", "link")</f>
        <v>link</v>
      </c>
    </row>
    <row r="2668" spans="1:4" x14ac:dyDescent="0.45">
      <c r="A2668" t="s">
        <v>2670</v>
      </c>
      <c r="B2668">
        <v>34.048324299999997</v>
      </c>
      <c r="C2668">
        <v>-118.2576849</v>
      </c>
      <c r="D2668" t="str">
        <f>HYPERLINK("https://streetviewpixels-pa.googleapis.com/v1/thumbnail?panoid=Lla5w_-CcR19nG99BAdLEw&amp;cb_client=search.gws-prod.gps&amp;w=408&amp;h=240&amp;yaw=261.1202&amp;pitch=0&amp;thumbfov=100", "link")</f>
        <v>link</v>
      </c>
    </row>
    <row r="2669" spans="1:4" x14ac:dyDescent="0.45">
      <c r="A2669" t="s">
        <v>2671</v>
      </c>
      <c r="B2669">
        <v>34.047762800000001</v>
      </c>
      <c r="C2669">
        <v>-118.2632067</v>
      </c>
      <c r="D2669" t="str">
        <f>HYPERLINK("https://streetviewpixels-pa.googleapis.com/v1/thumbnail?panoid=cubJMXGdLI6M9Qrv9XGjYw&amp;cb_client=search.gws-prod.gps&amp;w=408&amp;h=240&amp;yaw=62.393593&amp;pitch=0&amp;thumbfov=100", "link")</f>
        <v>link</v>
      </c>
    </row>
    <row r="2670" spans="1:4" x14ac:dyDescent="0.45">
      <c r="A2670" t="s">
        <v>2672</v>
      </c>
      <c r="B2670">
        <v>34.0490049</v>
      </c>
      <c r="C2670">
        <v>-118.2627758</v>
      </c>
      <c r="D2670" t="str">
        <f>HYPERLINK("https://lh5.googleusercontent.com/p/AF1QipM07k4Dj3MWkBgQy6zzq7ckEXczZiufyXW09jW1=w408-h306-k-no", "link")</f>
        <v>link</v>
      </c>
    </row>
    <row r="2671" spans="1:4" x14ac:dyDescent="0.45">
      <c r="A2671" t="s">
        <v>2673</v>
      </c>
      <c r="B2671">
        <v>34.045333900000003</v>
      </c>
      <c r="C2671">
        <v>-118.2590118</v>
      </c>
      <c r="D2671" t="str">
        <f>HYPERLINK("https://streetviewpixels-pa.googleapis.com/v1/thumbnail?panoid=TEUasyr6WtqPnC5HJefzKw&amp;cb_client=search.gws-prod.gps&amp;w=408&amp;h=240&amp;yaw=322.21017&amp;pitch=0&amp;thumbfov=100", "link")</f>
        <v>link</v>
      </c>
    </row>
    <row r="2672" spans="1:4" x14ac:dyDescent="0.45">
      <c r="A2672" t="s">
        <v>2674</v>
      </c>
      <c r="B2672">
        <v>34.048677099999999</v>
      </c>
      <c r="C2672">
        <v>-118.25754209999999</v>
      </c>
      <c r="D2672" t="str">
        <f>HYPERLINK("https://streetviewpixels-pa.googleapis.com/v1/thumbnail?panoid=MIhb-LgShQxYaJxSDTUvZw&amp;cb_client=search.gws-prod.gps&amp;w=408&amp;h=240&amp;yaw=205.60266&amp;pitch=0&amp;thumbfov=100", "link")</f>
        <v>link</v>
      </c>
    </row>
    <row r="2673" spans="1:4" x14ac:dyDescent="0.45">
      <c r="A2673" t="s">
        <v>2675</v>
      </c>
      <c r="B2673">
        <v>34.047264900000002</v>
      </c>
      <c r="C2673">
        <v>-118.2633541</v>
      </c>
      <c r="D2673" t="str">
        <f>HYPERLINK("https://streetviewpixels-pa.googleapis.com/v1/thumbnail?panoid=cubJMXGdLI6M9Qrv9XGjYw&amp;cb_client=search.gws-prod.gps&amp;w=408&amp;h=240&amp;yaw=226.51044&amp;pitch=0&amp;thumbfov=100", "link")</f>
        <v>link</v>
      </c>
    </row>
    <row r="2674" spans="1:4" x14ac:dyDescent="0.45">
      <c r="A2674" t="s">
        <v>2676</v>
      </c>
      <c r="B2674">
        <v>34.046638799999997</v>
      </c>
      <c r="C2674">
        <v>-118.2574197</v>
      </c>
      <c r="D2674" t="str">
        <f>HYPERLINK("https://streetviewpixels-pa.googleapis.com/v1/thumbnail?panoid=MpqPn8VRw_hpIgxzoASeFg&amp;cb_client=search.gws-prod.gps&amp;w=408&amp;h=240&amp;yaw=271.26498&amp;pitch=0&amp;thumbfov=100", "link")</f>
        <v>link</v>
      </c>
    </row>
    <row r="2675" spans="1:4" x14ac:dyDescent="0.45">
      <c r="A2675" t="s">
        <v>2677</v>
      </c>
      <c r="B2675">
        <v>34.050171200000001</v>
      </c>
      <c r="C2675">
        <v>-118.2610358</v>
      </c>
      <c r="D2675" t="str">
        <f>HYPERLINK("https://lh5.googleusercontent.com/p/AF1QipNZoEH1IJtjwqmrJHFBXYndHWyjkmCzQNezrZ2J=w408-h544-k-no", "link")</f>
        <v>link</v>
      </c>
    </row>
    <row r="2676" spans="1:4" x14ac:dyDescent="0.45">
      <c r="A2676" t="s">
        <v>2678</v>
      </c>
      <c r="B2676">
        <v>34.049386900000002</v>
      </c>
      <c r="C2676">
        <v>-118.262664</v>
      </c>
      <c r="D2676" t="str">
        <f>HYPERLINK("https://lh5.googleusercontent.com/p/AF1QipMS2WCFPCUgZc_ieAPAYmVv5d6vLbpfKrJJAsnt=w408-h306-k-no", "link")</f>
        <v>link</v>
      </c>
    </row>
    <row r="2677" spans="1:4" x14ac:dyDescent="0.45">
      <c r="A2677" t="s">
        <v>2679</v>
      </c>
      <c r="B2677">
        <v>34.045183799999997</v>
      </c>
      <c r="C2677">
        <v>-118.25888190000001</v>
      </c>
      <c r="D2677" t="str">
        <f>HYPERLINK("https://streetviewpixels-pa.googleapis.com/v1/thumbnail?panoid=TEUasyr6WtqPnC5HJefzKw&amp;cb_client=search.gws-prod.gps&amp;w=408&amp;h=240&amp;yaw=322.21017&amp;pitch=0&amp;thumbfov=100", "link")</f>
        <v>link</v>
      </c>
    </row>
    <row r="2678" spans="1:4" x14ac:dyDescent="0.45">
      <c r="A2678" t="s">
        <v>2680</v>
      </c>
      <c r="B2678">
        <v>34.046594300000002</v>
      </c>
      <c r="C2678">
        <v>-118.25727209999999</v>
      </c>
      <c r="D2678" t="s">
        <v>5</v>
      </c>
    </row>
    <row r="2679" spans="1:4" x14ac:dyDescent="0.45">
      <c r="A2679" t="s">
        <v>2681</v>
      </c>
      <c r="B2679">
        <v>34.045413199999999</v>
      </c>
      <c r="C2679">
        <v>-118.2581344</v>
      </c>
      <c r="D2679" t="str">
        <f>HYPERLINK("https://streetviewpixels-pa.googleapis.com/v1/thumbnail?panoid=QobSdFxD2pQmL_x-icIbhg&amp;cb_client=search.gws-prod.gps&amp;w=408&amp;h=240&amp;yaw=153.42012&amp;pitch=0&amp;thumbfov=100", "link")</f>
        <v>link</v>
      </c>
    </row>
    <row r="2680" spans="1:4" x14ac:dyDescent="0.45">
      <c r="A2680" t="s">
        <v>2682</v>
      </c>
      <c r="B2680">
        <v>34.048243200000002</v>
      </c>
      <c r="C2680">
        <v>-118.2569376</v>
      </c>
      <c r="D2680" t="str">
        <f>HYPERLINK("https://streetviewpixels-pa.googleapis.com/v1/thumbnail?panoid=4z-1--6Jlx_GG_E212iKCg&amp;cb_client=search.gws-prod.gps&amp;w=408&amp;h=240&amp;yaw=230.6151&amp;pitch=0&amp;thumbfov=100", "link")</f>
        <v>link</v>
      </c>
    </row>
    <row r="2681" spans="1:4" x14ac:dyDescent="0.45">
      <c r="A2681" t="s">
        <v>2683</v>
      </c>
      <c r="B2681">
        <v>34.050389299999999</v>
      </c>
      <c r="C2681">
        <v>-118.2612961</v>
      </c>
      <c r="D2681" t="str">
        <f>HYPERLINK("https://lh5.googleusercontent.com/p/AF1QipMgATU2xIAiCSCEPWonmA2v5O9-TNpNkxEw1R8e=w408-h306-k-no", "link")</f>
        <v>link</v>
      </c>
    </row>
    <row r="2682" spans="1:4" x14ac:dyDescent="0.45">
      <c r="A2682" t="s">
        <v>2684</v>
      </c>
      <c r="B2682">
        <v>34.050184899999998</v>
      </c>
      <c r="C2682">
        <v>-118.258629</v>
      </c>
      <c r="D2682" t="str">
        <f>HYPERLINK("https://streetviewpixels-pa.googleapis.com/v1/thumbnail?panoid=oAW4aPG4P1gNnKCbjc0bew&amp;cb_client=search.gws-prod.gps&amp;w=408&amp;h=240&amp;yaw=129.80162&amp;pitch=0&amp;thumbfov=100", "link")</f>
        <v>link</v>
      </c>
    </row>
    <row r="2683" spans="1:4" x14ac:dyDescent="0.45">
      <c r="A2683" t="s">
        <v>2685</v>
      </c>
      <c r="B2683">
        <v>34.044958299999998</v>
      </c>
      <c r="C2683">
        <v>-118.25838829999999</v>
      </c>
      <c r="D2683" t="str">
        <f>HYPERLINK("https://lh5.googleusercontent.com/p/AF1QipPLTzjrZ1s5KeGwFG3qyxcroGN-p2ilQ-varK8F=w493-h240-k-no", "link")</f>
        <v>link</v>
      </c>
    </row>
    <row r="2684" spans="1:4" x14ac:dyDescent="0.45">
      <c r="A2684" t="s">
        <v>2686</v>
      </c>
      <c r="B2684">
        <v>34.047598100000002</v>
      </c>
      <c r="C2684">
        <v>-118.2602911</v>
      </c>
      <c r="D2684" t="str">
        <f>HYPERLINK("https://streetviewpixels-pa.googleapis.com/v1/thumbnail?panoid=uzDaZxz-jGJ2uD01fgc0AA&amp;cb_client=search.gws-prod.gps&amp;w=408&amp;h=240&amp;yaw=274.39893&amp;pitch=0&amp;thumbfov=100", "link")</f>
        <v>link</v>
      </c>
    </row>
    <row r="2685" spans="1:4" x14ac:dyDescent="0.45">
      <c r="A2685" t="s">
        <v>2687</v>
      </c>
      <c r="B2685">
        <v>34.047710000000002</v>
      </c>
      <c r="C2685">
        <v>-118.26020800000001</v>
      </c>
      <c r="D2685" t="str">
        <f>HYPERLINK("https://streetviewpixels-pa.googleapis.com/v1/thumbnail?panoid=uzDaZxz-jGJ2uD01fgc0AA&amp;cb_client=search.gws-prod.gps&amp;w=408&amp;h=240&amp;yaw=274.39893&amp;pitch=0&amp;thumbfov=100", "link")</f>
        <v>link</v>
      </c>
    </row>
    <row r="2686" spans="1:4" x14ac:dyDescent="0.45">
      <c r="A2686" t="s">
        <v>2688</v>
      </c>
      <c r="B2686">
        <v>34.047474600000001</v>
      </c>
      <c r="C2686">
        <v>-118.2607064</v>
      </c>
      <c r="D2686" t="str">
        <f>HYPERLINK("https://streetviewpixels-pa.googleapis.com/v1/thumbnail?panoid=OdFU6fZF62h6W-F6RmV8Sw&amp;cb_client=search.gws-prod.gps&amp;w=408&amp;h=240&amp;yaw=310.41586&amp;pitch=0&amp;thumbfov=100", "link")</f>
        <v>link</v>
      </c>
    </row>
    <row r="2687" spans="1:4" x14ac:dyDescent="0.45">
      <c r="A2687" t="s">
        <v>2689</v>
      </c>
      <c r="B2687">
        <v>34.048039600000003</v>
      </c>
      <c r="C2687">
        <v>-118.2598898</v>
      </c>
      <c r="D2687" t="str">
        <f>HYPERLINK("https://streetviewpixels-pa.googleapis.com/v1/thumbnail?panoid=eLXVLIlhYy1L6n46rcDOWg&amp;cb_client=search.gws-prod.gps&amp;w=408&amp;h=240&amp;yaw=310.70355&amp;pitch=0&amp;thumbfov=100", "link")</f>
        <v>link</v>
      </c>
    </row>
    <row r="2688" spans="1:4" x14ac:dyDescent="0.45">
      <c r="A2688" t="s">
        <v>2690</v>
      </c>
      <c r="B2688">
        <v>34.048220899999997</v>
      </c>
      <c r="C2688">
        <v>-118.2605188</v>
      </c>
      <c r="D2688" t="s">
        <v>5</v>
      </c>
    </row>
    <row r="2689" spans="1:4" x14ac:dyDescent="0.45">
      <c r="A2689" t="s">
        <v>2691</v>
      </c>
      <c r="B2689">
        <v>34.048322300000002</v>
      </c>
      <c r="C2689">
        <v>-118.2604841</v>
      </c>
      <c r="D2689" t="s">
        <v>5</v>
      </c>
    </row>
    <row r="2690" spans="1:4" x14ac:dyDescent="0.45">
      <c r="A2690" t="s">
        <v>2692</v>
      </c>
      <c r="B2690">
        <v>34.047605099999998</v>
      </c>
      <c r="C2690">
        <v>-118.2612939</v>
      </c>
      <c r="D2690" t="str">
        <f>HYPERLINK("https://streetviewpixels-pa.googleapis.com/v1/thumbnail?panoid=XRBvun79_aN8MuYMFEc_qg&amp;cb_client=search.gws-prod.gps&amp;w=408&amp;h=240&amp;yaw=144.53987&amp;pitch=0&amp;thumbfov=100", "link")</f>
        <v>link</v>
      </c>
    </row>
    <row r="2691" spans="1:4" x14ac:dyDescent="0.45">
      <c r="A2691" t="s">
        <v>2693</v>
      </c>
      <c r="B2691">
        <v>34.048317900000001</v>
      </c>
      <c r="C2691">
        <v>-118.2596516</v>
      </c>
      <c r="D2691" t="str">
        <f>HYPERLINK("https://streetviewpixels-pa.googleapis.com/v1/thumbnail?panoid=aIG6XHQakmFAutAPYTZl6Q&amp;cb_client=search.gws-prod.gps&amp;w=408&amp;h=240&amp;yaw=291.48978&amp;pitch=0&amp;thumbfov=100", "link")</f>
        <v>link</v>
      </c>
    </row>
    <row r="2692" spans="1:4" x14ac:dyDescent="0.45">
      <c r="A2692" t="s">
        <v>2694</v>
      </c>
      <c r="B2692">
        <v>34.048514099999998</v>
      </c>
      <c r="C2692">
        <v>-118.2592873</v>
      </c>
      <c r="D2692" t="str">
        <f>HYPERLINK("https://streetviewpixels-pa.googleapis.com/v1/thumbnail?panoid=FlxOa4sLKnGjXWn2YNiLxA&amp;cb_client=search.gws-prod.gps&amp;w=408&amp;h=240&amp;yaw=164.75018&amp;pitch=0&amp;thumbfov=100", "link")</f>
        <v>link</v>
      </c>
    </row>
    <row r="2693" spans="1:4" x14ac:dyDescent="0.45">
      <c r="A2693" t="s">
        <v>2695</v>
      </c>
      <c r="B2693">
        <v>34.046371299999997</v>
      </c>
      <c r="C2693">
        <v>-118.2604944</v>
      </c>
      <c r="D2693" t="str">
        <f>HYPERLINK("https://streetviewpixels-pa.googleapis.com/v1/thumbnail?panoid=MvhizVDkU3TmkuFrwuprtg&amp;cb_client=search.gws-prod.gps&amp;w=408&amp;h=240&amp;yaw=85.5852&amp;pitch=0&amp;thumbfov=100", "link")</f>
        <v>link</v>
      </c>
    </row>
    <row r="2694" spans="1:4" x14ac:dyDescent="0.45">
      <c r="A2694" t="s">
        <v>2696</v>
      </c>
      <c r="B2694">
        <v>34.047851100000003</v>
      </c>
      <c r="C2694">
        <v>-118.261792</v>
      </c>
      <c r="D2694" t="str">
        <f>HYPERLINK("https://lh5.googleusercontent.com/p/AF1QipPfoorlhjrh8vro5fBMNz9o2XiVdLtYYN782TCA=w408-h306-k-no", "link")</f>
        <v>link</v>
      </c>
    </row>
    <row r="2695" spans="1:4" x14ac:dyDescent="0.45">
      <c r="A2695" t="s">
        <v>2697</v>
      </c>
      <c r="B2695">
        <v>34.047851199999997</v>
      </c>
      <c r="C2695">
        <v>-118.26184430000001</v>
      </c>
      <c r="D2695" t="str">
        <f>HYPERLINK("https://lh5.googleusercontent.com/p/AF1QipPfoorlhjrh8vro5fBMNz9o2XiVdLtYYN782TCA=w408-h306-k-no", "link")</f>
        <v>link</v>
      </c>
    </row>
    <row r="2696" spans="1:4" x14ac:dyDescent="0.45">
      <c r="A2696" t="s">
        <v>2698</v>
      </c>
      <c r="B2696">
        <v>34.047979599999998</v>
      </c>
      <c r="C2696">
        <v>-118.258601</v>
      </c>
      <c r="D2696" t="str">
        <f>HYPERLINK("https://streetviewpixels-pa.googleapis.com/v1/thumbnail?panoid=uEVHA1SGuj2qWYy0BWHDFg&amp;cb_client=search.gws-prod.gps&amp;w=408&amp;h=240&amp;yaw=206.96175&amp;pitch=0&amp;thumbfov=100", "link")</f>
        <v>link</v>
      </c>
    </row>
    <row r="2697" spans="1:4" x14ac:dyDescent="0.45">
      <c r="A2697" t="s">
        <v>2699</v>
      </c>
      <c r="B2697">
        <v>34.046881399999997</v>
      </c>
      <c r="C2697">
        <v>-118.2585354</v>
      </c>
      <c r="D2697" t="str">
        <f>HYPERLINK("https://streetviewpixels-pa.googleapis.com/v1/thumbnail?panoid=mZc2DY7hTr587qPJ27T3Sw&amp;cb_client=search.gws-prod.gps&amp;w=408&amp;h=240&amp;yaw=127.386696&amp;pitch=0&amp;thumbfov=100", "link")</f>
        <v>link</v>
      </c>
    </row>
    <row r="2698" spans="1:4" x14ac:dyDescent="0.45">
      <c r="A2698" t="s">
        <v>2700</v>
      </c>
      <c r="B2698">
        <v>34.046921900000001</v>
      </c>
      <c r="C2698">
        <v>-118.2583892</v>
      </c>
      <c r="D2698" t="str">
        <f>HYPERLINK("https://streetviewpixels-pa.googleapis.com/v1/thumbnail?panoid=mZc2DY7hTr587qPJ27T3Sw&amp;cb_client=search.gws-prod.gps&amp;w=408&amp;h=240&amp;yaw=127.386696&amp;pitch=0&amp;thumbfov=100", "link")</f>
        <v>link</v>
      </c>
    </row>
    <row r="2699" spans="1:4" x14ac:dyDescent="0.45">
      <c r="A2699" t="s">
        <v>2701</v>
      </c>
      <c r="B2699">
        <v>34.046551099999903</v>
      </c>
      <c r="C2699">
        <v>-118.2585397</v>
      </c>
      <c r="D2699" t="str">
        <f>HYPERLINK("https://streetviewpixels-pa.googleapis.com/v1/thumbnail?panoid=_x87AfPID2gJ1sV5hQtOEg&amp;cb_client=search.gws-prod.gps&amp;w=408&amp;h=240&amp;yaw=117.068&amp;pitch=0&amp;thumbfov=100", "link")</f>
        <v>link</v>
      </c>
    </row>
    <row r="2700" spans="1:4" x14ac:dyDescent="0.45">
      <c r="A2700" t="s">
        <v>2702</v>
      </c>
      <c r="B2700">
        <v>34.0465716</v>
      </c>
      <c r="C2700">
        <v>-118.2585078</v>
      </c>
      <c r="D2700" t="str">
        <f>HYPERLINK("https://streetviewpixels-pa.googleapis.com/v1/thumbnail?panoid=_x87AfPID2gJ1sV5hQtOEg&amp;cb_client=search.gws-prod.gps&amp;w=408&amp;h=240&amp;yaw=117.068&amp;pitch=0&amp;thumbfov=100", "link")</f>
        <v>link</v>
      </c>
    </row>
    <row r="2701" spans="1:4" x14ac:dyDescent="0.45">
      <c r="A2701" t="s">
        <v>2703</v>
      </c>
      <c r="B2701">
        <v>34.0467753</v>
      </c>
      <c r="C2701">
        <v>-118.2583298</v>
      </c>
      <c r="D2701" t="str">
        <f>HYPERLINK("https://streetviewpixels-pa.googleapis.com/v1/thumbnail?panoid=mZc2DY7hTr587qPJ27T3Sw&amp;cb_client=search.gws-prod.gps&amp;w=408&amp;h=240&amp;yaw=127.386696&amp;pitch=0&amp;thumbfov=100", "link")</f>
        <v>link</v>
      </c>
    </row>
    <row r="2702" spans="1:4" x14ac:dyDescent="0.45">
      <c r="A2702" t="s">
        <v>2704</v>
      </c>
      <c r="B2702">
        <v>34.048201599999999</v>
      </c>
      <c r="C2702">
        <v>-118.2625912</v>
      </c>
      <c r="D2702" t="str">
        <f>HYPERLINK("https://streetviewpixels-pa.googleapis.com/v1/thumbnail?panoid=lBfKXTQovWM5pcj4k6CBvw&amp;cb_client=search.gws-prod.gps&amp;w=408&amp;h=240&amp;yaw=210.64276&amp;pitch=0&amp;thumbfov=100", "link")</f>
        <v>link</v>
      </c>
    </row>
    <row r="2703" spans="1:4" x14ac:dyDescent="0.45">
      <c r="A2703" t="s">
        <v>2705</v>
      </c>
      <c r="B2703">
        <v>34.0405832</v>
      </c>
      <c r="C2703">
        <v>-118.2672345</v>
      </c>
      <c r="D2703" t="s">
        <v>5</v>
      </c>
    </row>
    <row r="2704" spans="1:4" x14ac:dyDescent="0.45">
      <c r="A2704" t="s">
        <v>2706</v>
      </c>
      <c r="B2704">
        <v>34.0395027</v>
      </c>
      <c r="C2704">
        <v>-118.2664216</v>
      </c>
      <c r="D2704" t="str">
        <f>HYPERLINK("https://streetviewpixels-pa.googleapis.com/v1/thumbnail?panoid=v8pAqbESby3P1woNu58BJQ&amp;cb_client=search.gws-prod.gps&amp;w=408&amp;h=240&amp;yaw=207.8696&amp;pitch=0&amp;thumbfov=100", "link")</f>
        <v>link</v>
      </c>
    </row>
    <row r="2705" spans="1:4" x14ac:dyDescent="0.45">
      <c r="A2705" t="s">
        <v>2707</v>
      </c>
      <c r="B2705">
        <v>34.041691499999999</v>
      </c>
      <c r="C2705">
        <v>-118.27257880000001</v>
      </c>
      <c r="D2705" t="s">
        <v>5</v>
      </c>
    </row>
    <row r="2706" spans="1:4" x14ac:dyDescent="0.45">
      <c r="A2706" t="s">
        <v>2708</v>
      </c>
      <c r="B2706">
        <v>34.040447800000003</v>
      </c>
      <c r="C2706">
        <v>-118.26698810000001</v>
      </c>
      <c r="D2706" t="s">
        <v>5</v>
      </c>
    </row>
    <row r="2707" spans="1:4" x14ac:dyDescent="0.45">
      <c r="A2707" t="s">
        <v>2709</v>
      </c>
      <c r="B2707">
        <v>34.041794000000003</v>
      </c>
      <c r="C2707">
        <v>-118.272395</v>
      </c>
      <c r="D2707" t="s">
        <v>5</v>
      </c>
    </row>
    <row r="2708" spans="1:4" x14ac:dyDescent="0.45">
      <c r="A2708" t="s">
        <v>2710</v>
      </c>
      <c r="B2708">
        <v>34.035073099999998</v>
      </c>
      <c r="C2708">
        <v>-118.26677100000001</v>
      </c>
      <c r="D2708" t="s">
        <v>5</v>
      </c>
    </row>
    <row r="2709" spans="1:4" x14ac:dyDescent="0.45">
      <c r="A2709" t="s">
        <v>2711</v>
      </c>
      <c r="B2709">
        <v>34.035203299999999</v>
      </c>
      <c r="C2709">
        <v>-118.26645689999999</v>
      </c>
      <c r="D2709" t="str">
        <f>HYPERLINK("https://streetviewpixels-pa.googleapis.com/v1/thumbnail?panoid=UfLddQaZH2kSwHzIPCzrUQ&amp;cb_client=search.gws-prod.gps&amp;w=408&amp;h=240&amp;yaw=125.34325&amp;pitch=0&amp;thumbfov=100", "link")</f>
        <v>link</v>
      </c>
    </row>
    <row r="2710" spans="1:4" x14ac:dyDescent="0.45">
      <c r="A2710" t="s">
        <v>2712</v>
      </c>
      <c r="B2710">
        <v>34.038301599999997</v>
      </c>
      <c r="C2710">
        <v>-118.2651678</v>
      </c>
      <c r="D2710" t="str">
        <f>HYPERLINK("https://streetviewpixels-pa.googleapis.com/v1/thumbnail?panoid=_CqBNpXUjkJAMDa8i2jL8w&amp;cb_client=search.gws-prod.gps&amp;w=408&amp;h=240&amp;yaw=194.45198&amp;pitch=0&amp;thumbfov=100", "link")</f>
        <v>link</v>
      </c>
    </row>
    <row r="2711" spans="1:4" x14ac:dyDescent="0.45">
      <c r="A2711" t="s">
        <v>2713</v>
      </c>
      <c r="B2711">
        <v>34.039446599999998</v>
      </c>
      <c r="C2711">
        <v>-118.2651767</v>
      </c>
      <c r="D2711" t="str">
        <f>HYPERLINK("https://streetviewpixels-pa.googleapis.com/v1/thumbnail?panoid=zp0Bm9VTzxuuz9CYa5ADzw&amp;cb_client=search.gws-prod.gps&amp;w=408&amp;h=240&amp;yaw=13.569666&amp;pitch=0&amp;thumbfov=100", "link")</f>
        <v>link</v>
      </c>
    </row>
    <row r="2712" spans="1:4" x14ac:dyDescent="0.45">
      <c r="A2712" t="s">
        <v>2714</v>
      </c>
      <c r="B2712">
        <v>34.041319999999999</v>
      </c>
      <c r="C2712">
        <v>-118.2663666</v>
      </c>
      <c r="D2712" t="str">
        <f>HYPERLINK("https://streetviewpixels-pa.googleapis.com/v1/thumbnail?panoid=N7vNIrFkdnyNIkNQEtM9kA&amp;cb_client=search.gws-prod.gps&amp;w=408&amp;h=240&amp;yaw=115.23588&amp;pitch=0&amp;thumbfov=100", "link")</f>
        <v>link</v>
      </c>
    </row>
    <row r="2713" spans="1:4" x14ac:dyDescent="0.45">
      <c r="A2713" t="s">
        <v>2715</v>
      </c>
      <c r="B2713">
        <v>34.036738499999998</v>
      </c>
      <c r="C2713">
        <v>-118.2651025</v>
      </c>
      <c r="D2713" t="str">
        <f>HYPERLINK("https://lh5.googleusercontent.com/p/AF1QipO6R00aBC5vNyBEvSSF4xlKalpjCJC91u5XvZDX=w426-h240-k-no", "link")</f>
        <v>link</v>
      </c>
    </row>
    <row r="2714" spans="1:4" x14ac:dyDescent="0.45">
      <c r="A2714" t="s">
        <v>2716</v>
      </c>
      <c r="B2714">
        <v>34.035020000000003</v>
      </c>
      <c r="C2714">
        <v>-118.2662026</v>
      </c>
      <c r="D2714" t="str">
        <f>HYPERLINK("https://streetviewpixels-pa.googleapis.com/v1/thumbnail?panoid=UfLddQaZH2kSwHzIPCzrUQ&amp;cb_client=search.gws-prod.gps&amp;w=408&amp;h=240&amp;yaw=125.34325&amp;pitch=0&amp;thumbfov=100", "link")</f>
        <v>link</v>
      </c>
    </row>
    <row r="2715" spans="1:4" x14ac:dyDescent="0.45">
      <c r="A2715" t="s">
        <v>2717</v>
      </c>
      <c r="B2715">
        <v>34.040330500000003</v>
      </c>
      <c r="C2715">
        <v>-118.26534270000001</v>
      </c>
      <c r="D2715" t="str">
        <f>HYPERLINK("https://streetviewpixels-pa.googleapis.com/v1/thumbnail?panoid=Ls5nAku--_hrvwTkD_spCQ&amp;cb_client=search.gws-prod.gps&amp;w=408&amp;h=240&amp;yaw=287.7122&amp;pitch=0&amp;thumbfov=100", "link")</f>
        <v>link</v>
      </c>
    </row>
    <row r="2716" spans="1:4" x14ac:dyDescent="0.45">
      <c r="A2716" t="s">
        <v>2718</v>
      </c>
      <c r="B2716">
        <v>34.034562999999999</v>
      </c>
      <c r="C2716">
        <v>-118.2664948</v>
      </c>
      <c r="D2716" t="str">
        <f>HYPERLINK("https://lh5.googleusercontent.com/p/AF1QipP4Hds-bkiGSl5KJeCI1HZvUyFXEkGZ491Wy56A=w408-h306-k-no", "link")</f>
        <v>link</v>
      </c>
    </row>
    <row r="2717" spans="1:4" x14ac:dyDescent="0.45">
      <c r="A2717" t="s">
        <v>2719</v>
      </c>
      <c r="B2717">
        <v>34.035556800000002</v>
      </c>
      <c r="C2717">
        <v>-118.2654687</v>
      </c>
      <c r="D2717" t="str">
        <f>HYPERLINK("https://streetviewpixels-pa.googleapis.com/v1/thumbnail?panoid=gR7BtPo9i1fIZfp04mUg8Q&amp;cb_client=search.gws-prod.gps&amp;w=408&amp;h=240&amp;yaw=287.74463&amp;pitch=0&amp;thumbfov=100", "link")</f>
        <v>link</v>
      </c>
    </row>
    <row r="2718" spans="1:4" x14ac:dyDescent="0.45">
      <c r="A2718" t="s">
        <v>2720</v>
      </c>
      <c r="B2718">
        <v>34.036738999999997</v>
      </c>
      <c r="C2718">
        <v>-118.2647889</v>
      </c>
      <c r="D2718" t="str">
        <f>HYPERLINK("https://lh5.googleusercontent.com/p/AF1QipO6R00aBC5vNyBEvSSF4xlKalpjCJC91u5XvZDX=w426-h240-k-no", "link")</f>
        <v>link</v>
      </c>
    </row>
    <row r="2719" spans="1:4" x14ac:dyDescent="0.45">
      <c r="A2719" t="s">
        <v>2721</v>
      </c>
      <c r="B2719">
        <v>34.042914199999998</v>
      </c>
      <c r="C2719">
        <v>-118.2734184</v>
      </c>
      <c r="D2719" t="str">
        <f>HYPERLINK("https://streetviewpixels-pa.googleapis.com/v1/thumbnail?panoid=NA__m9wIOdDKavOvWecjGQ&amp;cb_client=search.gws-prod.gps&amp;w=408&amp;h=240&amp;yaw=220.19157&amp;pitch=0&amp;thumbfov=100", "link")</f>
        <v>link</v>
      </c>
    </row>
    <row r="2720" spans="1:4" x14ac:dyDescent="0.45">
      <c r="A2720" t="s">
        <v>2722</v>
      </c>
      <c r="B2720">
        <v>34.039312899999999</v>
      </c>
      <c r="C2720">
        <v>-118.2645412</v>
      </c>
      <c r="D2720" t="str">
        <f>HYPERLINK("https://streetviewpixels-pa.googleapis.com/v1/thumbnail?panoid=g94X98g95MamVJUpJ0nE_Q&amp;cb_client=search.gws-prod.gps&amp;w=408&amp;h=240&amp;yaw=22.829062&amp;pitch=0&amp;thumbfov=100", "link")</f>
        <v>link</v>
      </c>
    </row>
    <row r="2721" spans="1:4" x14ac:dyDescent="0.45">
      <c r="A2721" t="s">
        <v>2723</v>
      </c>
      <c r="B2721">
        <v>34.0397423</v>
      </c>
      <c r="C2721">
        <v>-118.2771772</v>
      </c>
      <c r="D2721" t="str">
        <f>HYPERLINK("https://streetviewpixels-pa.googleapis.com/v1/thumbnail?panoid=VLw-tMnV9LJu3Zf-UBIbbA&amp;cb_client=search.gws-prod.gps&amp;w=408&amp;h=240&amp;yaw=341.84027&amp;pitch=0&amp;thumbfov=100", "link")</f>
        <v>link</v>
      </c>
    </row>
    <row r="2722" spans="1:4" x14ac:dyDescent="0.45">
      <c r="A2722" t="s">
        <v>2724</v>
      </c>
      <c r="B2722">
        <v>34.040993100000001</v>
      </c>
      <c r="C2722">
        <v>-118.26484979999999</v>
      </c>
      <c r="D2722" t="str">
        <f>HYPERLINK("https://streetviewpixels-pa.googleapis.com/v1/thumbnail?panoid=K-DHt3nEEFETTUiDp_jg6g&amp;cb_client=search.gws-prod.gps&amp;w=408&amp;h=240&amp;yaw=119.32905&amp;pitch=0&amp;thumbfov=100", "link")</f>
        <v>link</v>
      </c>
    </row>
    <row r="2723" spans="1:4" x14ac:dyDescent="0.45">
      <c r="A2723" t="s">
        <v>2725</v>
      </c>
      <c r="B2723">
        <v>34.038127199999998</v>
      </c>
      <c r="C2723">
        <v>-118.2707659</v>
      </c>
      <c r="D2723" t="s">
        <v>5</v>
      </c>
    </row>
    <row r="2724" spans="1:4" x14ac:dyDescent="0.45">
      <c r="A2724" t="s">
        <v>2726</v>
      </c>
      <c r="B2724">
        <v>34.0381176</v>
      </c>
      <c r="C2724">
        <v>-118.27076479999999</v>
      </c>
      <c r="D2724" t="s">
        <v>5</v>
      </c>
    </row>
    <row r="2725" spans="1:4" x14ac:dyDescent="0.45">
      <c r="A2725" t="s">
        <v>2727</v>
      </c>
      <c r="B2725">
        <v>34.037464100000001</v>
      </c>
      <c r="C2725">
        <v>-118.2706848</v>
      </c>
      <c r="D2725" t="str">
        <f>HYPERLINK("https://streetviewpixels-pa.googleapis.com/v1/thumbnail?panoid=0HfekIjDQooJvusXHHLoXg&amp;cb_client=search.gws-prod.gps&amp;w=408&amp;h=240&amp;yaw=185.61824&amp;pitch=0&amp;thumbfov=100", "link")</f>
        <v>link</v>
      </c>
    </row>
    <row r="2726" spans="1:4" x14ac:dyDescent="0.45">
      <c r="A2726" t="s">
        <v>2728</v>
      </c>
      <c r="B2726">
        <v>34.038741899999998</v>
      </c>
      <c r="C2726">
        <v>-118.2712736</v>
      </c>
      <c r="D2726" t="s">
        <v>5</v>
      </c>
    </row>
    <row r="2727" spans="1:4" x14ac:dyDescent="0.45">
      <c r="A2727" t="s">
        <v>2729</v>
      </c>
      <c r="B2727">
        <v>34.039312299999999</v>
      </c>
      <c r="C2727">
        <v>-118.27184800000001</v>
      </c>
      <c r="D2727" t="s">
        <v>5</v>
      </c>
    </row>
    <row r="2728" spans="1:4" x14ac:dyDescent="0.45">
      <c r="A2728" t="s">
        <v>2730</v>
      </c>
      <c r="B2728">
        <v>34.038703400000003</v>
      </c>
      <c r="C2728">
        <v>-118.2688332</v>
      </c>
      <c r="D2728" t="str">
        <f>HYPERLINK("https://streetviewpixels-pa.googleapis.com/v1/thumbnail?panoid=Ev5QifoS7_2vbQ3i3AFjDQ&amp;cb_client=search.gws-prod.gps&amp;w=408&amp;h=240&amp;yaw=121.78059&amp;pitch=0&amp;thumbfov=100", "link")</f>
        <v>link</v>
      </c>
    </row>
    <row r="2729" spans="1:4" x14ac:dyDescent="0.45">
      <c r="A2729" t="s">
        <v>2731</v>
      </c>
      <c r="B2729">
        <v>34.0380799</v>
      </c>
      <c r="C2729">
        <v>-118.26860480000001</v>
      </c>
      <c r="D2729" t="s">
        <v>5</v>
      </c>
    </row>
    <row r="2730" spans="1:4" x14ac:dyDescent="0.45">
      <c r="A2730" t="s">
        <v>2732</v>
      </c>
      <c r="B2730">
        <v>34.038870799999998</v>
      </c>
      <c r="C2730">
        <v>-118.2727582</v>
      </c>
      <c r="D2730" t="str">
        <f>HYPERLINK("https://streetviewpixels-pa.googleapis.com/v1/thumbnail?panoid=WQgOKy7jZ4vfTj9ZKh_pVQ&amp;cb_client=search.gws-prod.gps&amp;w=408&amp;h=240&amp;yaw=40.756207&amp;pitch=0&amp;thumbfov=100", "link")</f>
        <v>link</v>
      </c>
    </row>
    <row r="2731" spans="1:4" x14ac:dyDescent="0.45">
      <c r="A2731" t="s">
        <v>2733</v>
      </c>
      <c r="B2731">
        <v>34.038744000000001</v>
      </c>
      <c r="C2731">
        <v>-118.2684091</v>
      </c>
      <c r="D2731" t="str">
        <f>HYPERLINK("https://streetviewpixels-pa.googleapis.com/v1/thumbnail?panoid=3DcpIO_aZXSIPyXdU2nJHg&amp;cb_client=search.gws-prod.gps&amp;w=408&amp;h=240&amp;yaw=285.94144&amp;pitch=0&amp;thumbfov=100", "link")</f>
        <v>link</v>
      </c>
    </row>
    <row r="2732" spans="1:4" x14ac:dyDescent="0.45">
      <c r="A2732" t="s">
        <v>2734</v>
      </c>
      <c r="B2732">
        <v>34.0396407</v>
      </c>
      <c r="C2732">
        <v>-118.2682851</v>
      </c>
      <c r="D2732" t="s">
        <v>5</v>
      </c>
    </row>
    <row r="2733" spans="1:4" x14ac:dyDescent="0.45">
      <c r="A2733" t="s">
        <v>2735</v>
      </c>
      <c r="B2733">
        <v>34.039693399999997</v>
      </c>
      <c r="C2733">
        <v>-118.26818950000001</v>
      </c>
      <c r="D2733" t="s">
        <v>5</v>
      </c>
    </row>
    <row r="2734" spans="1:4" x14ac:dyDescent="0.45">
      <c r="A2734" t="s">
        <v>2736</v>
      </c>
      <c r="B2734">
        <v>34.036792599999998</v>
      </c>
      <c r="C2734">
        <v>-118.26782830000001</v>
      </c>
      <c r="D2734" t="s">
        <v>5</v>
      </c>
    </row>
    <row r="2735" spans="1:4" x14ac:dyDescent="0.45">
      <c r="A2735" t="s">
        <v>2737</v>
      </c>
      <c r="B2735">
        <v>34.036407400000002</v>
      </c>
      <c r="C2735">
        <v>-118.2681051</v>
      </c>
      <c r="D2735" t="str">
        <f>HYPERLINK("https://streetviewpixels-pa.googleapis.com/v1/thumbnail?panoid=PegPoUrQsnuVlwDUT0dKCQ&amp;cb_client=search.gws-prod.gps&amp;w=408&amp;h=240&amp;yaw=316.97766&amp;pitch=0&amp;thumbfov=100", "link")</f>
        <v>link</v>
      </c>
    </row>
    <row r="2736" spans="1:4" x14ac:dyDescent="0.45">
      <c r="A2736" t="s">
        <v>2738</v>
      </c>
      <c r="B2736">
        <v>34.036103400000002</v>
      </c>
      <c r="C2736">
        <v>-118.2732026</v>
      </c>
      <c r="D2736" t="str">
        <f>HYPERLINK("https://lh5.googleusercontent.com/p/AF1QipPV-rF-W92-I_vlv-VWD1M6Jdauc8KfRWGYJL7x=w408-h544-k-no", "link")</f>
        <v>link</v>
      </c>
    </row>
    <row r="2737" spans="1:4" x14ac:dyDescent="0.45">
      <c r="A2737" t="s">
        <v>2739</v>
      </c>
      <c r="B2737">
        <v>34.039440499999998</v>
      </c>
      <c r="C2737">
        <v>-118.26768420000001</v>
      </c>
      <c r="D2737" t="str">
        <f>HYPERLINK("https://streetviewpixels-pa.googleapis.com/v1/thumbnail?panoid=4NPsUTQGS83PPZr3ghEegQ&amp;cb_client=search.gws-prod.gps&amp;w=408&amp;h=240&amp;yaw=126.9685&amp;pitch=0&amp;thumbfov=100", "link")</f>
        <v>link</v>
      </c>
    </row>
    <row r="2738" spans="1:4" x14ac:dyDescent="0.45">
      <c r="A2738" t="s">
        <v>2740</v>
      </c>
      <c r="B2738">
        <v>34.039080900000002</v>
      </c>
      <c r="C2738">
        <v>-118.26701509999999</v>
      </c>
      <c r="D2738" t="str">
        <f>HYPERLINK("https://streetviewpixels-pa.googleapis.com/v1/thumbnail?panoid=mYHBRC0tS6i3WD64e7JyRA&amp;cb_client=search.gws-prod.gps&amp;w=408&amp;h=240&amp;yaw=115.362885&amp;pitch=0&amp;thumbfov=100", "link")</f>
        <v>link</v>
      </c>
    </row>
    <row r="2739" spans="1:4" x14ac:dyDescent="0.45">
      <c r="A2739" t="s">
        <v>2741</v>
      </c>
      <c r="B2739">
        <v>34.035763199999998</v>
      </c>
      <c r="C2739">
        <v>-118.2678755</v>
      </c>
      <c r="D2739" t="str">
        <f>HYPERLINK("https://streetviewpixels-pa.googleapis.com/v1/thumbnail?panoid=_g37C9gwVxPsTrM7AL0aAg&amp;cb_client=search.gws-prod.gps&amp;w=408&amp;h=240&amp;yaw=177.3029&amp;pitch=0&amp;thumbfov=100", "link")</f>
        <v>link</v>
      </c>
    </row>
    <row r="2740" spans="1:4" x14ac:dyDescent="0.45">
      <c r="A2740" t="s">
        <v>2742</v>
      </c>
      <c r="B2740">
        <v>34.039332299999998</v>
      </c>
      <c r="C2740">
        <v>-118.26687769999999</v>
      </c>
      <c r="D2740" t="str">
        <f>HYPERLINK("https://streetviewpixels-pa.googleapis.com/v1/thumbnail?panoid=mYHBRC0tS6i3WD64e7JyRA&amp;cb_client=search.gws-prod.gps&amp;w=408&amp;h=240&amp;yaw=115.362885&amp;pitch=0&amp;thumbfov=100", "link")</f>
        <v>link</v>
      </c>
    </row>
    <row r="2741" spans="1:4" x14ac:dyDescent="0.45">
      <c r="A2741" t="s">
        <v>2743</v>
      </c>
      <c r="B2741">
        <v>34.037155599999998</v>
      </c>
      <c r="C2741">
        <v>-118.266683</v>
      </c>
      <c r="D2741" t="str">
        <f>HYPERLINK("https://streetviewpixels-pa.googleapis.com/v1/thumbnail?panoid=SspXtvGyJ21qvELVZb2W9g&amp;cb_client=search.gws-prod.gps&amp;w=408&amp;h=240&amp;yaw=130.31152&amp;pitch=0&amp;thumbfov=100", "link")</f>
        <v>link</v>
      </c>
    </row>
    <row r="2742" spans="1:4" x14ac:dyDescent="0.45">
      <c r="A2742" t="s">
        <v>2744</v>
      </c>
      <c r="B2742">
        <v>34.041553700000001</v>
      </c>
      <c r="C2742">
        <v>-118.27184800000001</v>
      </c>
      <c r="D2742" t="s">
        <v>5</v>
      </c>
    </row>
    <row r="2743" spans="1:4" x14ac:dyDescent="0.45">
      <c r="A2743" t="s">
        <v>2745</v>
      </c>
      <c r="B2743">
        <v>34.063747300000003</v>
      </c>
      <c r="C2743">
        <v>-118.3536936</v>
      </c>
      <c r="D2743" t="s">
        <v>5</v>
      </c>
    </row>
    <row r="2744" spans="1:4" x14ac:dyDescent="0.45">
      <c r="A2744" t="s">
        <v>2746</v>
      </c>
      <c r="B2744">
        <v>34.061110200000002</v>
      </c>
      <c r="C2744">
        <v>-118.3545058</v>
      </c>
      <c r="D2744" t="str">
        <f>HYPERLINK("https://streetviewpixels-pa.googleapis.com/v1/thumbnail?panoid=tPyE9vsy-J_TOejAwD2wTw&amp;cb_client=search.gws-prod.gps&amp;w=408&amp;h=240&amp;yaw=218.99327&amp;pitch=0&amp;thumbfov=100", "link")</f>
        <v>link</v>
      </c>
    </row>
    <row r="2745" spans="1:4" x14ac:dyDescent="0.45">
      <c r="A2745" t="s">
        <v>2747</v>
      </c>
      <c r="B2745">
        <v>34.0611563</v>
      </c>
      <c r="C2745">
        <v>-118.3547782</v>
      </c>
      <c r="D2745" t="str">
        <f>HYPERLINK("https://lh5.googleusercontent.com/p/AF1QipN8gAFC5LR7c2XKvKpwHrCRHZTVwzlmjMcVs96W=w408-h544-k-no", "link")</f>
        <v>link</v>
      </c>
    </row>
    <row r="2746" spans="1:4" x14ac:dyDescent="0.45">
      <c r="A2746" t="s">
        <v>2748</v>
      </c>
      <c r="B2746">
        <v>34.062671000000002</v>
      </c>
      <c r="C2746">
        <v>-118.3393004</v>
      </c>
      <c r="D2746" t="str">
        <f>HYPERLINK("https://streetviewpixels-pa.googleapis.com/v1/thumbnail?panoid=INxCkcy89ONlJXCuXg0bRg&amp;cb_client=search.gws-prod.gps&amp;w=408&amp;h=240&amp;yaw=343.45148&amp;pitch=0&amp;thumbfov=100", "link")</f>
        <v>link</v>
      </c>
    </row>
    <row r="2747" spans="1:4" x14ac:dyDescent="0.45">
      <c r="A2747" t="s">
        <v>2749</v>
      </c>
      <c r="B2747">
        <v>34.067280500000003</v>
      </c>
      <c r="C2747">
        <v>-118.343703</v>
      </c>
      <c r="D2747" t="str">
        <f>HYPERLINK("https://streetviewpixels-pa.googleapis.com/v1/thumbnail?panoid=UrehUsG8ARAIPb6na69hAA&amp;cb_client=search.gws-prod.gps&amp;w=408&amp;h=240&amp;yaw=69.2982&amp;pitch=0&amp;thumbfov=100", "link")</f>
        <v>link</v>
      </c>
    </row>
    <row r="2748" spans="1:4" x14ac:dyDescent="0.45">
      <c r="A2748" t="s">
        <v>2750</v>
      </c>
      <c r="B2748">
        <v>34.055079900000003</v>
      </c>
      <c r="C2748">
        <v>-118.3436281</v>
      </c>
      <c r="D2748" t="str">
        <f>HYPERLINK("https://streetviewpixels-pa.googleapis.com/v1/thumbnail?panoid=Gg3ooWibTbxJs9bEp-AEjA&amp;cb_client=search.gws-prod.gps&amp;w=408&amp;h=240&amp;yaw=77.55518&amp;pitch=0&amp;thumbfov=100", "link")</f>
        <v>link</v>
      </c>
    </row>
    <row r="2749" spans="1:4" x14ac:dyDescent="0.45">
      <c r="A2749" t="s">
        <v>2751</v>
      </c>
      <c r="B2749">
        <v>34.0643569</v>
      </c>
      <c r="C2749">
        <v>-118.3548905</v>
      </c>
      <c r="D2749" t="s">
        <v>5</v>
      </c>
    </row>
    <row r="2750" spans="1:4" x14ac:dyDescent="0.45">
      <c r="A2750" t="s">
        <v>2752</v>
      </c>
      <c r="B2750">
        <v>34.062906900000002</v>
      </c>
      <c r="C2750">
        <v>-118.3380336</v>
      </c>
      <c r="D2750" t="str">
        <f>HYPERLINK("https://streetviewpixels-pa.googleapis.com/v1/thumbnail?panoid=WFC9fcpY8MofoPaKgPiyUg&amp;cb_client=search.gws-prod.gps&amp;w=408&amp;h=240&amp;yaw=30.670687&amp;pitch=0&amp;thumbfov=100", "link")</f>
        <v>link</v>
      </c>
    </row>
    <row r="2751" spans="1:4" x14ac:dyDescent="0.45">
      <c r="A2751" t="s">
        <v>2753</v>
      </c>
      <c r="B2751">
        <v>34.064390099999997</v>
      </c>
      <c r="C2751">
        <v>-118.3556</v>
      </c>
      <c r="D2751" t="s">
        <v>5</v>
      </c>
    </row>
    <row r="2752" spans="1:4" x14ac:dyDescent="0.45">
      <c r="A2752" t="s">
        <v>2754</v>
      </c>
      <c r="B2752">
        <v>34.062115900000002</v>
      </c>
      <c r="C2752">
        <v>-118.3573349</v>
      </c>
      <c r="D2752" t="s">
        <v>5</v>
      </c>
    </row>
    <row r="2753" spans="1:4" x14ac:dyDescent="0.45">
      <c r="A2753" t="s">
        <v>2755</v>
      </c>
      <c r="B2753">
        <v>34.0621162999999</v>
      </c>
      <c r="C2753">
        <v>-118.3573916</v>
      </c>
      <c r="D2753" t="s">
        <v>5</v>
      </c>
    </row>
    <row r="2754" spans="1:4" x14ac:dyDescent="0.45">
      <c r="A2754" t="s">
        <v>2756</v>
      </c>
      <c r="B2754">
        <v>34.0621638</v>
      </c>
      <c r="C2754">
        <v>-118.3590382</v>
      </c>
      <c r="D2754" t="str">
        <f>HYPERLINK("https://lh5.googleusercontent.com/p/AF1QipPhiC4ZDojFLvP5AFXB95Hy_n-JS-_mRl8QGAg=w426-h240-k-no", "link")</f>
        <v>link</v>
      </c>
    </row>
    <row r="2755" spans="1:4" x14ac:dyDescent="0.45">
      <c r="A2755" t="s">
        <v>2757</v>
      </c>
      <c r="B2755">
        <v>34.053812800000003</v>
      </c>
      <c r="C2755">
        <v>-118.3550578</v>
      </c>
      <c r="D2755" t="str">
        <f>HYPERLINK("https://streetviewpixels-pa.googleapis.com/v1/thumbnail?panoid=CcyfLaYVFXHrDT2cQzDbRg&amp;cb_client=search.gws-prod.gps&amp;w=408&amp;h=240&amp;yaw=133.77641&amp;pitch=0&amp;thumbfov=100", "link")</f>
        <v>link</v>
      </c>
    </row>
    <row r="2756" spans="1:4" x14ac:dyDescent="0.45">
      <c r="A2756" t="s">
        <v>2758</v>
      </c>
      <c r="B2756">
        <v>34.070558300000002</v>
      </c>
      <c r="C2756">
        <v>-118.3523752</v>
      </c>
      <c r="D2756" t="str">
        <f>HYPERLINK("https://streetviewpixels-pa.googleapis.com/v1/thumbnail?panoid=dAveqQr4IE5imzHDp963rg&amp;cb_client=search.gws-prod.gps&amp;w=408&amp;h=240&amp;yaw=337.48322&amp;pitch=0&amp;thumbfov=100", "link")</f>
        <v>link</v>
      </c>
    </row>
    <row r="2757" spans="1:4" x14ac:dyDescent="0.45">
      <c r="A2757" t="s">
        <v>2759</v>
      </c>
      <c r="B2757">
        <v>34.061915599999999</v>
      </c>
      <c r="C2757">
        <v>-118.359572</v>
      </c>
      <c r="D2757" t="s">
        <v>5</v>
      </c>
    </row>
    <row r="2758" spans="1:4" x14ac:dyDescent="0.45">
      <c r="A2758" t="s">
        <v>2760</v>
      </c>
      <c r="B2758">
        <v>34.061082599999999</v>
      </c>
      <c r="C2758">
        <v>-118.33441139999999</v>
      </c>
      <c r="D2758" t="str">
        <f>HYPERLINK("https://streetviewpixels-pa.googleapis.com/v1/thumbnail?panoid=WJCLx5AC-GyhRgIhawMxlw&amp;cb_client=search.gws-prod.gps&amp;w=408&amp;h=240&amp;yaw=337.683&amp;pitch=0&amp;thumbfov=100", "link")</f>
        <v>link</v>
      </c>
    </row>
    <row r="2759" spans="1:4" x14ac:dyDescent="0.45">
      <c r="A2759" t="s">
        <v>2761</v>
      </c>
      <c r="B2759">
        <v>34.064728799999997</v>
      </c>
      <c r="C2759">
        <v>-118.3593518</v>
      </c>
      <c r="D2759" t="str">
        <f>HYPERLINK("https://streetviewpixels-pa.googleapis.com/v1/thumbnail?panoid=FNH1Cdbb3rtHrts6IkbXug&amp;cb_client=search.gws-prod.gps&amp;w=408&amp;h=240&amp;yaw=201.89084&amp;pitch=0&amp;thumbfov=100", "link")</f>
        <v>link</v>
      </c>
    </row>
    <row r="2760" spans="1:4" x14ac:dyDescent="0.45">
      <c r="A2760" t="s">
        <v>2762</v>
      </c>
      <c r="B2760">
        <v>34.057909899999999</v>
      </c>
      <c r="C2760">
        <v>-118.35994150000001</v>
      </c>
      <c r="D2760" t="str">
        <f>HYPERLINK("https://streetviewpixels-pa.googleapis.com/v1/thumbnail?panoid=hDkXl3d-eUbtdBw5zmbhhQ&amp;cb_client=search.gws-prod.gps&amp;w=408&amp;h=240&amp;yaw=95.41712&amp;pitch=0&amp;thumbfov=100", "link")</f>
        <v>link</v>
      </c>
    </row>
    <row r="2761" spans="1:4" x14ac:dyDescent="0.45">
      <c r="A2761" t="s">
        <v>2763</v>
      </c>
      <c r="B2761">
        <v>34.056932199999999</v>
      </c>
      <c r="C2761">
        <v>-118.35980050000001</v>
      </c>
      <c r="D2761" t="str">
        <f>HYPERLINK("https://streetviewpixels-pa.googleapis.com/v1/thumbnail?panoid=c9r-ADLczbBx-SttQEWWpw&amp;cb_client=search.gws-prod.gps&amp;w=408&amp;h=240&amp;yaw=154.58699&amp;pitch=0&amp;thumbfov=100", "link")</f>
        <v>link</v>
      </c>
    </row>
    <row r="2762" spans="1:4" x14ac:dyDescent="0.45">
      <c r="A2762" t="s">
        <v>2764</v>
      </c>
      <c r="B2762">
        <v>34.061300099999997</v>
      </c>
      <c r="C2762">
        <v>-118.3470141</v>
      </c>
      <c r="D2762" t="str">
        <f>HYPERLINK("https://streetviewpixels-pa.googleapis.com/v1/thumbnail?panoid=sLxmPxNimIq6s48zmzRmhA&amp;cb_client=search.gws-prod.gps&amp;w=408&amp;h=240&amp;yaw=298.41406&amp;pitch=0&amp;thumbfov=100", "link")</f>
        <v>link</v>
      </c>
    </row>
    <row r="2763" spans="1:4" x14ac:dyDescent="0.45">
      <c r="A2763" t="s">
        <v>2765</v>
      </c>
      <c r="B2763">
        <v>34.062953399999998</v>
      </c>
      <c r="C2763">
        <v>-118.3467583</v>
      </c>
      <c r="D2763" t="str">
        <f>HYPERLINK("https://streetviewpixels-pa.googleapis.com/v1/thumbnail?panoid=YAc0uZo0oBV4EL3St48c-A&amp;cb_client=search.gws-prod.gps&amp;w=408&amp;h=240&amp;yaw=257.2358&amp;pitch=0&amp;thumbfov=100", "link")</f>
        <v>link</v>
      </c>
    </row>
    <row r="2764" spans="1:4" x14ac:dyDescent="0.45">
      <c r="A2764" t="s">
        <v>2766</v>
      </c>
      <c r="B2764">
        <v>34.062932099999998</v>
      </c>
      <c r="C2764">
        <v>-118.3477592</v>
      </c>
      <c r="D2764" t="str">
        <f>HYPERLINK("https://streetviewpixels-pa.googleapis.com/v1/thumbnail?panoid=mbSvAS-z1b2twa17xu03Pw&amp;cb_client=search.gws-prod.gps&amp;w=408&amp;h=240&amp;yaw=286.5295&amp;pitch=0&amp;thumbfov=100", "link")</f>
        <v>link</v>
      </c>
    </row>
    <row r="2765" spans="1:4" x14ac:dyDescent="0.45">
      <c r="A2765" t="s">
        <v>2767</v>
      </c>
      <c r="B2765">
        <v>34.060113399999999</v>
      </c>
      <c r="C2765">
        <v>-118.3452233</v>
      </c>
      <c r="D2765" t="str">
        <f>HYPERLINK("https://streetviewpixels-pa.googleapis.com/v1/thumbnail?panoid=MWRjjN-5Hd3FB1ShyB20_A&amp;cb_client=search.gws-prod.gps&amp;w=408&amp;h=240&amp;yaw=269.2105&amp;pitch=0&amp;thumbfov=100", "link")</f>
        <v>link</v>
      </c>
    </row>
    <row r="2766" spans="1:4" x14ac:dyDescent="0.45">
      <c r="A2766" t="s">
        <v>2768</v>
      </c>
      <c r="B2766">
        <v>34.060817800000002</v>
      </c>
      <c r="C2766">
        <v>-118.3441369</v>
      </c>
      <c r="D2766" t="str">
        <f>HYPERLINK("https://streetviewpixels-pa.googleapis.com/v1/thumbnail?panoid=JcojANY39CjYYb-TYeje6w&amp;cb_client=search.gws-prod.gps&amp;w=408&amp;h=240&amp;yaw=4.794584&amp;pitch=0&amp;thumbfov=100", "link")</f>
        <v>link</v>
      </c>
    </row>
    <row r="2767" spans="1:4" x14ac:dyDescent="0.45">
      <c r="A2767" t="s">
        <v>2769</v>
      </c>
      <c r="B2767">
        <v>34.059899999999999</v>
      </c>
      <c r="C2767">
        <v>-118.34460900000001</v>
      </c>
      <c r="D2767" t="str">
        <f>HYPERLINK("https://streetviewpixels-pa.googleapis.com/v1/thumbnail?panoid=45CaQR497aFDHcCRNSgi8Q&amp;cb_client=search.gws-prod.gps&amp;w=408&amp;h=240&amp;yaw=125.37634&amp;pitch=0&amp;thumbfov=100", "link")</f>
        <v>link</v>
      </c>
    </row>
    <row r="2768" spans="1:4" x14ac:dyDescent="0.45">
      <c r="A2768" t="s">
        <v>2770</v>
      </c>
      <c r="B2768">
        <v>34.061438799999998</v>
      </c>
      <c r="C2768">
        <v>-118.34395720000001</v>
      </c>
      <c r="D2768" t="str">
        <f>HYPERLINK("https://streetviewpixels-pa.googleapis.com/v1/thumbnail?panoid=ir9zBahufikE3YrRtqy6mw&amp;cb_client=search.gws-prod.gps&amp;w=408&amp;h=240&amp;yaw=100.28649&amp;pitch=0&amp;thumbfov=100", "link")</f>
        <v>link</v>
      </c>
    </row>
    <row r="2769" spans="1:4" x14ac:dyDescent="0.45">
      <c r="A2769" t="s">
        <v>2771</v>
      </c>
      <c r="B2769">
        <v>34.058660099999997</v>
      </c>
      <c r="C2769">
        <v>-118.3457784</v>
      </c>
      <c r="D2769" t="str">
        <f>HYPERLINK("https://streetviewpixels-pa.googleapis.com/v1/thumbnail?panoid=V6UM6Ztz1eoYvt2TVrPXng&amp;cb_client=search.gws-prod.gps&amp;w=408&amp;h=240&amp;yaw=233.8056&amp;pitch=0&amp;thumbfov=100", "link")</f>
        <v>link</v>
      </c>
    </row>
    <row r="2770" spans="1:4" x14ac:dyDescent="0.45">
      <c r="A2770" t="s">
        <v>2772</v>
      </c>
      <c r="B2770">
        <v>34.0630326</v>
      </c>
      <c r="C2770">
        <v>-118.34975470000001</v>
      </c>
      <c r="D2770" t="str">
        <f>HYPERLINK("https://streetviewpixels-pa.googleapis.com/v1/thumbnail?panoid=Ij4otuGfT7wpDKeazkbX_g&amp;cb_client=search.gws-prod.gps&amp;w=408&amp;h=240&amp;yaw=155.65811&amp;pitch=0&amp;thumbfov=100", "link")</f>
        <v>link</v>
      </c>
    </row>
    <row r="2771" spans="1:4" x14ac:dyDescent="0.45">
      <c r="A2771" t="s">
        <v>2773</v>
      </c>
      <c r="B2771">
        <v>34.061969499999996</v>
      </c>
      <c r="C2771">
        <v>-118.34317160000001</v>
      </c>
      <c r="D2771" t="str">
        <f>HYPERLINK("https://streetviewpixels-pa.googleapis.com/v1/thumbnail?panoid=7XeKKr0QViuo2jMVb6OoEA&amp;cb_client=search.gws-prod.gps&amp;w=408&amp;h=240&amp;yaw=328.63498&amp;pitch=0&amp;thumbfov=100", "link")</f>
        <v>link</v>
      </c>
    </row>
    <row r="2772" spans="1:4" x14ac:dyDescent="0.45">
      <c r="A2772" t="s">
        <v>2774</v>
      </c>
      <c r="B2772">
        <v>34.064386499999998</v>
      </c>
      <c r="C2772">
        <v>-118.34428149999999</v>
      </c>
      <c r="D2772" t="str">
        <f>HYPERLINK("https://streetviewpixels-pa.googleapis.com/v1/thumbnail?panoid=GX5H7gYAA5l7dhkqjn_a-Q&amp;cb_client=search.gws-prod.gps&amp;w=408&amp;h=240&amp;yaw=275.29276&amp;pitch=0&amp;thumbfov=100", "link")</f>
        <v>link</v>
      </c>
    </row>
    <row r="2773" spans="1:4" x14ac:dyDescent="0.45">
      <c r="A2773" t="s">
        <v>2775</v>
      </c>
      <c r="B2773">
        <v>34.057424300000001</v>
      </c>
      <c r="C2773">
        <v>-118.3450481</v>
      </c>
      <c r="D2773" t="str">
        <f>HYPERLINK("https://streetviewpixels-pa.googleapis.com/v1/thumbnail?panoid=fsaki80WbydfyjzpyXi0YQ&amp;cb_client=search.gws-prod.gps&amp;w=408&amp;h=240&amp;yaw=343.74255&amp;pitch=0&amp;thumbfov=100", "link")</f>
        <v>link</v>
      </c>
    </row>
    <row r="2774" spans="1:4" x14ac:dyDescent="0.45">
      <c r="A2774" t="s">
        <v>2776</v>
      </c>
      <c r="B2774">
        <v>34.062039400000003</v>
      </c>
      <c r="C2774">
        <v>-118.3419689</v>
      </c>
      <c r="D2774" t="str">
        <f>HYPERLINK("https://streetviewpixels-pa.googleapis.com/v1/thumbnail?panoid=FkTJoLgGrRc6tBHyRo2lmw&amp;cb_client=search.gws-prod.gps&amp;w=408&amp;h=240&amp;yaw=353.54587&amp;pitch=0&amp;thumbfov=100", "link")</f>
        <v>link</v>
      </c>
    </row>
    <row r="2775" spans="1:4" x14ac:dyDescent="0.45">
      <c r="A2775" t="s">
        <v>2777</v>
      </c>
      <c r="B2775">
        <v>34.057007800000001</v>
      </c>
      <c r="C2775">
        <v>-118.34832590000001</v>
      </c>
      <c r="D2775" t="str">
        <f>HYPERLINK("https://streetviewpixels-pa.googleapis.com/v1/thumbnail?panoid=gChZtAABa6gc6Zx6NKOzRA&amp;cb_client=search.gws-prod.gps&amp;w=408&amp;h=240&amp;yaw=314.35297&amp;pitch=0&amp;thumbfov=100", "link")</f>
        <v>link</v>
      </c>
    </row>
    <row r="2776" spans="1:4" x14ac:dyDescent="0.45">
      <c r="A2776" t="s">
        <v>2778</v>
      </c>
      <c r="B2776">
        <v>34.0614171</v>
      </c>
      <c r="C2776">
        <v>-118.3524259</v>
      </c>
      <c r="D2776" t="str">
        <f>HYPERLINK("https://streetviewpixels-pa.googleapis.com/v1/thumbnail?panoid=nLDdKzqUy1sjO71i-GrJ3Q&amp;cb_client=search.gws-prod.gps&amp;w=408&amp;h=240&amp;yaw=285.51245&amp;pitch=0&amp;thumbfov=100", "link")</f>
        <v>link</v>
      </c>
    </row>
    <row r="2777" spans="1:4" x14ac:dyDescent="0.45">
      <c r="A2777" t="s">
        <v>2779</v>
      </c>
      <c r="B2777">
        <v>34.061614599999999</v>
      </c>
      <c r="C2777">
        <v>-118.3411917</v>
      </c>
      <c r="D2777" t="str">
        <f>HYPERLINK("https://streetviewpixels-pa.googleapis.com/v1/thumbnail?panoid=4jXgbdRefCQl-g4j_DkCPw&amp;cb_client=search.gws-prod.gps&amp;w=408&amp;h=240&amp;yaw=152.4175&amp;pitch=0&amp;thumbfov=100", "link")</f>
        <v>link</v>
      </c>
    </row>
    <row r="2778" spans="1:4" x14ac:dyDescent="0.45">
      <c r="A2778" t="s">
        <v>2780</v>
      </c>
      <c r="B2778">
        <v>34.0576279</v>
      </c>
      <c r="C2778">
        <v>-118.343174</v>
      </c>
      <c r="D2778" t="str">
        <f>HYPERLINK("https://streetviewpixels-pa.googleapis.com/v1/thumbnail?panoid=B_VhQAa-8I4yWn_DG8-hrw&amp;cb_client=search.gws-prod.gps&amp;w=408&amp;h=240&amp;yaw=284.3875&amp;pitch=0&amp;thumbfov=100", "link")</f>
        <v>link</v>
      </c>
    </row>
    <row r="2779" spans="1:4" x14ac:dyDescent="0.45">
      <c r="A2779" t="s">
        <v>2781</v>
      </c>
      <c r="B2779">
        <v>34.061785499999999</v>
      </c>
      <c r="C2779">
        <v>-118.3532326</v>
      </c>
      <c r="D2779" t="str">
        <f>HYPERLINK("https://lh5.googleusercontent.com/p/AF1QipPjpg2WxAmGvqtpuf8WhrE_dnjlqcRlI5oPULP9=w408-h274-k-no", "link")</f>
        <v>link</v>
      </c>
    </row>
    <row r="2780" spans="1:4" x14ac:dyDescent="0.45">
      <c r="A2780" t="s">
        <v>2782</v>
      </c>
      <c r="B2780">
        <v>34.062414699999998</v>
      </c>
      <c r="C2780">
        <v>-118.33985730000001</v>
      </c>
      <c r="D2780" t="str">
        <f>HYPERLINK("https://lh5.googleusercontent.com/p/AF1QipNlPgTmBHXIEA1c518tAY1J3itr6L5gI6-f_697=w408-h544-k-no", "link")</f>
        <v>link</v>
      </c>
    </row>
    <row r="2781" spans="1:4" x14ac:dyDescent="0.45">
      <c r="A2781" t="s">
        <v>2783</v>
      </c>
      <c r="B2781">
        <v>34.052153799999999</v>
      </c>
      <c r="C2781">
        <v>-118.24763710000001</v>
      </c>
      <c r="D2781" t="s">
        <v>5</v>
      </c>
    </row>
    <row r="2782" spans="1:4" x14ac:dyDescent="0.45">
      <c r="A2782" t="s">
        <v>2784</v>
      </c>
      <c r="B2782">
        <v>34.049834300000001</v>
      </c>
      <c r="C2782">
        <v>-118.24395989999999</v>
      </c>
      <c r="D2782" t="str">
        <f>HYPERLINK("https://streetviewpixels-pa.googleapis.com/v1/thumbnail?panoid=mUe6a-huC-RgqFy-QWEzLA&amp;cb_client=search.gws-prod.gps&amp;w=408&amp;h=240&amp;yaw=304.206&amp;pitch=0&amp;thumbfov=100", "link")</f>
        <v>link</v>
      </c>
    </row>
    <row r="2783" spans="1:4" x14ac:dyDescent="0.45">
      <c r="A2783" t="s">
        <v>2785</v>
      </c>
      <c r="B2783">
        <v>34.051597699999903</v>
      </c>
      <c r="C2783">
        <v>-118.24851289999999</v>
      </c>
      <c r="D2783" t="s">
        <v>5</v>
      </c>
    </row>
    <row r="2784" spans="1:4" x14ac:dyDescent="0.45">
      <c r="A2784" t="s">
        <v>2786</v>
      </c>
      <c r="B2784">
        <v>34.051605899999998</v>
      </c>
      <c r="C2784">
        <v>-118.2485508</v>
      </c>
      <c r="D2784" t="s">
        <v>5</v>
      </c>
    </row>
    <row r="2785" spans="1:4" x14ac:dyDescent="0.45">
      <c r="A2785" t="s">
        <v>2787</v>
      </c>
      <c r="B2785">
        <v>34.053326200000001</v>
      </c>
      <c r="C2785">
        <v>-118.2462414</v>
      </c>
      <c r="D2785" t="str">
        <f>HYPERLINK("https://streetviewpixels-pa.googleapis.com/v1/thumbnail?panoid=TSOv95WpRymA2GSp8SmvsQ&amp;cb_client=search.gws-prod.gps&amp;w=408&amp;h=240&amp;yaw=217.3061&amp;pitch=0&amp;thumbfov=100", "link")</f>
        <v>link</v>
      </c>
    </row>
    <row r="2786" spans="1:4" x14ac:dyDescent="0.45">
      <c r="A2786" t="s">
        <v>2788</v>
      </c>
      <c r="B2786">
        <v>34.051403800000003</v>
      </c>
      <c r="C2786">
        <v>-118.2489152</v>
      </c>
      <c r="D2786" t="str">
        <f>HYPERLINK("https://streetviewpixels-pa.googleapis.com/v1/thumbnail?panoid=cX8a078y8dQbNjuDhEYKkg&amp;cb_client=search.gws-prod.gps&amp;w=408&amp;h=240&amp;yaw=115.920364&amp;pitch=0&amp;thumbfov=100", "link")</f>
        <v>link</v>
      </c>
    </row>
    <row r="2787" spans="1:4" x14ac:dyDescent="0.45">
      <c r="A2787" t="s">
        <v>2789</v>
      </c>
      <c r="B2787">
        <v>34.051851900000003</v>
      </c>
      <c r="C2787">
        <v>-118.2488875</v>
      </c>
      <c r="D2787" t="s">
        <v>5</v>
      </c>
    </row>
    <row r="2788" spans="1:4" x14ac:dyDescent="0.45">
      <c r="A2788" t="s">
        <v>2790</v>
      </c>
      <c r="B2788">
        <v>34.052853900000002</v>
      </c>
      <c r="C2788">
        <v>-118.2483786</v>
      </c>
      <c r="D2788" t="str">
        <f>HYPERLINK("https://streetviewpixels-pa.googleapis.com/v1/thumbnail?panoid=xYj8-D_lL68eJjuXqjkXwg&amp;cb_client=search.gws-prod.gps&amp;w=408&amp;h=240&amp;yaw=293.27133&amp;pitch=0&amp;thumbfov=100", "link")</f>
        <v>link</v>
      </c>
    </row>
    <row r="2789" spans="1:4" x14ac:dyDescent="0.45">
      <c r="A2789" t="s">
        <v>2791</v>
      </c>
      <c r="B2789">
        <v>34.052348199999997</v>
      </c>
      <c r="C2789">
        <v>-118.2488457</v>
      </c>
      <c r="D2789" t="str">
        <f>HYPERLINK("https://streetviewpixels-pa.googleapis.com/v1/thumbnail?panoid=1kQb1hI1NJx_SkeEYngYPg&amp;cb_client=search.gws-prod.gps&amp;w=408&amp;h=240&amp;yaw=299.58035&amp;pitch=0&amp;thumbfov=100", "link")</f>
        <v>link</v>
      </c>
    </row>
    <row r="2790" spans="1:4" x14ac:dyDescent="0.45">
      <c r="A2790" t="s">
        <v>2792</v>
      </c>
      <c r="B2790">
        <v>34.051290000000002</v>
      </c>
      <c r="C2790">
        <v>-118.2492635</v>
      </c>
      <c r="D2790" t="str">
        <f>HYPERLINK("https://streetviewpixels-pa.googleapis.com/v1/thumbnail?panoid=cX8a078y8dQbNjuDhEYKkg&amp;cb_client=search.gws-prod.gps&amp;w=408&amp;h=240&amp;yaw=115.920364&amp;pitch=0&amp;thumbfov=100", "link")</f>
        <v>link</v>
      </c>
    </row>
    <row r="2791" spans="1:4" x14ac:dyDescent="0.45">
      <c r="A2791" t="s">
        <v>2793</v>
      </c>
      <c r="B2791">
        <v>34.052932699999999</v>
      </c>
      <c r="C2791">
        <v>-118.24846650000001</v>
      </c>
      <c r="D2791" t="str">
        <f>HYPERLINK("https://streetviewpixels-pa.googleapis.com/v1/thumbnail?panoid=xYj8-D_lL68eJjuXqjkXwg&amp;cb_client=search.gws-prod.gps&amp;w=408&amp;h=240&amp;yaw=293.27133&amp;pitch=0&amp;thumbfov=100", "link")</f>
        <v>link</v>
      </c>
    </row>
    <row r="2792" spans="1:4" x14ac:dyDescent="0.45">
      <c r="A2792" t="s">
        <v>2794</v>
      </c>
      <c r="B2792">
        <v>34.051031000000002</v>
      </c>
      <c r="C2792">
        <v>-118.2460245</v>
      </c>
      <c r="D2792" t="str">
        <f>HYPERLINK("https://lh5.googleusercontent.com/p/AF1QipNeBvE064pIykY3tnVI454ICge7R1OHzL8ZoYCK=w493-h240-k-no", "link")</f>
        <v>link</v>
      </c>
    </row>
    <row r="2793" spans="1:4" x14ac:dyDescent="0.45">
      <c r="A2793" t="s">
        <v>2795</v>
      </c>
      <c r="B2793">
        <v>34.050802599999997</v>
      </c>
      <c r="C2793">
        <v>-118.2459925</v>
      </c>
      <c r="D2793" t="str">
        <f>HYPERLINK("https://lh5.googleusercontent.com/p/AF1QipNeBvE064pIykY3tnVI454ICge7R1OHzL8ZoYCK=w493-h240-k-no", "link")</f>
        <v>link</v>
      </c>
    </row>
    <row r="2794" spans="1:4" x14ac:dyDescent="0.45">
      <c r="A2794" t="s">
        <v>2796</v>
      </c>
      <c r="B2794">
        <v>34.051211199999997</v>
      </c>
      <c r="C2794">
        <v>-118.2463628</v>
      </c>
      <c r="D2794" t="str">
        <f>HYPERLINK("https://streetviewpixels-pa.googleapis.com/v1/thumbnail?panoid=CyaxUWOvY64ZbQC23BzwRw&amp;cb_client=search.gws-prod.gps&amp;w=408&amp;h=240&amp;yaw=303.54248&amp;pitch=0&amp;thumbfov=100", "link")</f>
        <v>link</v>
      </c>
    </row>
    <row r="2795" spans="1:4" x14ac:dyDescent="0.45">
      <c r="A2795" t="s">
        <v>2797</v>
      </c>
      <c r="B2795">
        <v>34.051020600000001</v>
      </c>
      <c r="C2795">
        <v>-118.2464931</v>
      </c>
      <c r="D2795" t="str">
        <f>HYPERLINK("https://lh5.googleusercontent.com/p/AF1QipPyqJmpEpqXexi_Z3pzWGjKuFvQfRwrZq9lkx6J=w408-h261-k-no", "link")</f>
        <v>link</v>
      </c>
    </row>
    <row r="2796" spans="1:4" x14ac:dyDescent="0.45">
      <c r="A2796" t="s">
        <v>2798</v>
      </c>
      <c r="B2796">
        <v>34.050732400000001</v>
      </c>
      <c r="C2796">
        <v>-118.2454379</v>
      </c>
      <c r="D2796" t="s">
        <v>5</v>
      </c>
    </row>
    <row r="2797" spans="1:4" x14ac:dyDescent="0.45">
      <c r="A2797" t="s">
        <v>2799</v>
      </c>
      <c r="B2797">
        <v>34.050339100000002</v>
      </c>
      <c r="C2797">
        <v>-118.24641320000001</v>
      </c>
      <c r="D2797" t="s">
        <v>5</v>
      </c>
    </row>
    <row r="2798" spans="1:4" x14ac:dyDescent="0.45">
      <c r="A2798" t="s">
        <v>2800</v>
      </c>
      <c r="B2798">
        <v>34.051004399999997</v>
      </c>
      <c r="C2798">
        <v>-118.2469511</v>
      </c>
      <c r="D2798" t="str">
        <f>HYPERLINK("https://lh5.googleusercontent.com/p/AF1QipO4X3OEEo9OeSgLKff4g2Jads8UPBxqguawBfod=w408-h424-k-no", "link")</f>
        <v>link</v>
      </c>
    </row>
    <row r="2799" spans="1:4" x14ac:dyDescent="0.45">
      <c r="A2799" t="s">
        <v>2801</v>
      </c>
      <c r="B2799">
        <v>34.050345700000001</v>
      </c>
      <c r="C2799">
        <v>-118.2465407</v>
      </c>
      <c r="D2799" t="s">
        <v>5</v>
      </c>
    </row>
    <row r="2800" spans="1:4" x14ac:dyDescent="0.45">
      <c r="A2800" t="s">
        <v>2802</v>
      </c>
      <c r="B2800">
        <v>34.0503079</v>
      </c>
      <c r="C2800">
        <v>-118.2464626</v>
      </c>
      <c r="D2800" t="s">
        <v>5</v>
      </c>
    </row>
    <row r="2801" spans="1:4" x14ac:dyDescent="0.45">
      <c r="A2801" t="s">
        <v>2803</v>
      </c>
      <c r="B2801">
        <v>34.051072300000001</v>
      </c>
      <c r="C2801">
        <v>-118.2470115</v>
      </c>
      <c r="D2801" t="str">
        <f>HYPERLINK("https://lh5.googleusercontent.com/p/AF1QipO4X3OEEo9OeSgLKff4g2Jads8UPBxqguawBfod=w408-h424-k-no", "link")</f>
        <v>link</v>
      </c>
    </row>
    <row r="2802" spans="1:4" x14ac:dyDescent="0.45">
      <c r="A2802" t="s">
        <v>2804</v>
      </c>
      <c r="B2802">
        <v>34.0518322</v>
      </c>
      <c r="C2802">
        <v>-118.246358</v>
      </c>
      <c r="D2802" t="s">
        <v>5</v>
      </c>
    </row>
    <row r="2803" spans="1:4" x14ac:dyDescent="0.45">
      <c r="A2803" t="s">
        <v>2805</v>
      </c>
      <c r="B2803">
        <v>34.050167100000003</v>
      </c>
      <c r="C2803">
        <v>-118.24582479999999</v>
      </c>
      <c r="D2803" t="s">
        <v>5</v>
      </c>
    </row>
    <row r="2804" spans="1:4" x14ac:dyDescent="0.45">
      <c r="A2804" t="s">
        <v>2806</v>
      </c>
      <c r="B2804">
        <v>34.050156299999998</v>
      </c>
      <c r="C2804">
        <v>-118.2458554</v>
      </c>
      <c r="D2804" t="s">
        <v>5</v>
      </c>
    </row>
    <row r="2805" spans="1:4" x14ac:dyDescent="0.45">
      <c r="A2805" t="s">
        <v>2807</v>
      </c>
      <c r="B2805">
        <v>34.051640599999999</v>
      </c>
      <c r="C2805">
        <v>-118.2471401</v>
      </c>
      <c r="D2805" t="str">
        <f>HYPERLINK("https://streetviewpixels-pa.googleapis.com/v1/thumbnail?panoid=CyaxUWOvY64ZbQC23BzwRw&amp;cb_client=search.gws-prod.gps&amp;w=408&amp;h=240&amp;yaw=303.54248&amp;pitch=0&amp;thumbfov=100", "link")</f>
        <v>link</v>
      </c>
    </row>
    <row r="2806" spans="1:4" x14ac:dyDescent="0.45">
      <c r="A2806" t="s">
        <v>2808</v>
      </c>
      <c r="B2806">
        <v>34.0508764</v>
      </c>
      <c r="C2806">
        <v>-118.2474165</v>
      </c>
      <c r="D2806" t="s">
        <v>5</v>
      </c>
    </row>
    <row r="2807" spans="1:4" x14ac:dyDescent="0.45">
      <c r="A2807" t="s">
        <v>2809</v>
      </c>
      <c r="B2807">
        <v>34.052191499999999</v>
      </c>
      <c r="C2807">
        <v>-118.2461796</v>
      </c>
      <c r="D2807" t="str">
        <f>HYPERLINK("https://streetviewpixels-pa.googleapis.com/v1/thumbnail?panoid=wD5K_HR0T3zcnRQfAzc4kg&amp;cb_client=search.gws-prod.gps&amp;w=408&amp;h=240&amp;yaw=349.37994&amp;pitch=0&amp;thumbfov=100", "link")</f>
        <v>link</v>
      </c>
    </row>
    <row r="2808" spans="1:4" x14ac:dyDescent="0.45">
      <c r="A2808" t="s">
        <v>2810</v>
      </c>
      <c r="B2808">
        <v>34.049939000000002</v>
      </c>
      <c r="C2808">
        <v>-118.2452339</v>
      </c>
      <c r="D2808" t="s">
        <v>5</v>
      </c>
    </row>
    <row r="2809" spans="1:4" x14ac:dyDescent="0.45">
      <c r="A2809" t="s">
        <v>2811</v>
      </c>
      <c r="B2809">
        <v>34.049823600000003</v>
      </c>
      <c r="C2809">
        <v>-118.2449417</v>
      </c>
      <c r="D2809" t="s">
        <v>5</v>
      </c>
    </row>
    <row r="2810" spans="1:4" x14ac:dyDescent="0.45">
      <c r="A2810" t="s">
        <v>2812</v>
      </c>
      <c r="B2810">
        <v>34.0520073</v>
      </c>
      <c r="C2810">
        <v>-118.24451000000001</v>
      </c>
      <c r="D2810" t="str">
        <f>HYPERLINK("https://streetviewpixels-pa.googleapis.com/v1/thumbnail?panoid=hANuVtlocWcGaYv0V_CLSg&amp;cb_client=search.gws-prod.gps&amp;w=408&amp;h=240&amp;yaw=223.73412&amp;pitch=0&amp;thumbfov=100", "link")</f>
        <v>link</v>
      </c>
    </row>
    <row r="2811" spans="1:4" x14ac:dyDescent="0.45">
      <c r="A2811" t="s">
        <v>2813</v>
      </c>
      <c r="B2811">
        <v>34.0520912</v>
      </c>
      <c r="C2811">
        <v>-118.2475755</v>
      </c>
      <c r="D2811" t="s">
        <v>5</v>
      </c>
    </row>
    <row r="2812" spans="1:4" x14ac:dyDescent="0.45">
      <c r="A2812" t="s">
        <v>2814</v>
      </c>
      <c r="B2812">
        <v>34.1042293</v>
      </c>
      <c r="C2812">
        <v>-118.3374616</v>
      </c>
      <c r="D2812" t="str">
        <f>HYPERLINK("https://streetviewpixels-pa.googleapis.com/v1/thumbnail?panoid=prryUTkrKTnLFgobe4_5NQ&amp;cb_client=search.gws-prod.gps&amp;w=408&amp;h=240&amp;yaw=5.9357896&amp;pitch=0&amp;thumbfov=100", "link")</f>
        <v>link</v>
      </c>
    </row>
    <row r="2813" spans="1:4" x14ac:dyDescent="0.45">
      <c r="A2813" t="s">
        <v>2815</v>
      </c>
      <c r="B2813">
        <v>34.104906199999903</v>
      </c>
      <c r="C2813">
        <v>-118.3377632</v>
      </c>
      <c r="D2813" t="str">
        <f>HYPERLINK("https://streetviewpixels-pa.googleapis.com/v1/thumbnail?panoid=QGyxk8mRwFbVqIBIFQyiOw&amp;cb_client=search.gws-prod.gps&amp;w=408&amp;h=240&amp;yaw=27.096075&amp;pitch=0&amp;thumbfov=100", "link")</f>
        <v>link</v>
      </c>
    </row>
    <row r="2814" spans="1:4" x14ac:dyDescent="0.45">
      <c r="A2814" t="s">
        <v>2816</v>
      </c>
      <c r="B2814">
        <v>34.099203999999901</v>
      </c>
      <c r="C2814">
        <v>-118.3378551</v>
      </c>
      <c r="D2814" t="str">
        <f>HYPERLINK("https://streetviewpixels-pa.googleapis.com/v1/thumbnail?panoid=FDfbrHmrRzSi3bhU8lGCEg&amp;cb_client=search.gws-prod.gps&amp;w=408&amp;h=240&amp;yaw=89.917885&amp;pitch=0&amp;thumbfov=100", "link")</f>
        <v>link</v>
      </c>
    </row>
    <row r="2815" spans="1:4" x14ac:dyDescent="0.45">
      <c r="A2815" t="s">
        <v>2817</v>
      </c>
      <c r="B2815">
        <v>34.104793100000002</v>
      </c>
      <c r="C2815">
        <v>-118.3366841</v>
      </c>
      <c r="D2815" t="str">
        <f>HYPERLINK("https://streetviewpixels-pa.googleapis.com/v1/thumbnail?panoid=dEqHpkfgXaKG9wcIHnC6Lw&amp;cb_client=search.gws-prod.gps&amp;w=408&amp;h=240&amp;yaw=176.10864&amp;pitch=0&amp;thumbfov=100", "link")</f>
        <v>link</v>
      </c>
    </row>
    <row r="2816" spans="1:4" x14ac:dyDescent="0.45">
      <c r="A2816" t="s">
        <v>2818</v>
      </c>
      <c r="B2816">
        <v>34.106280599999998</v>
      </c>
      <c r="C2816">
        <v>-118.3378281</v>
      </c>
      <c r="D2816" t="str">
        <f>HYPERLINK("https://streetviewpixels-pa.googleapis.com/v1/thumbnail?panoid=PpzKzuJTe90jRsHjTEf78w&amp;cb_client=search.gws-prod.gps&amp;w=408&amp;h=240&amp;yaw=77.06014&amp;pitch=0&amp;thumbfov=100", "link")</f>
        <v>link</v>
      </c>
    </row>
    <row r="2817" spans="1:4" x14ac:dyDescent="0.45">
      <c r="A2817" t="s">
        <v>2819</v>
      </c>
      <c r="B2817">
        <v>34.097617499999998</v>
      </c>
      <c r="C2817">
        <v>-118.3434874</v>
      </c>
      <c r="D2817" t="str">
        <f>HYPERLINK("https://streetviewpixels-pa.googleapis.com/v1/thumbnail?panoid=8Wi_ZUjW6msjje5e8GRo_Q&amp;cb_client=search.gws-prod.gps&amp;w=408&amp;h=240&amp;yaw=56.31527&amp;pitch=0&amp;thumbfov=100", "link")</f>
        <v>link</v>
      </c>
    </row>
    <row r="2818" spans="1:4" x14ac:dyDescent="0.45">
      <c r="A2818" t="s">
        <v>2820</v>
      </c>
      <c r="B2818">
        <v>34.098423799999999</v>
      </c>
      <c r="C2818">
        <v>-118.3367434</v>
      </c>
      <c r="D2818" t="s">
        <v>5</v>
      </c>
    </row>
    <row r="2819" spans="1:4" x14ac:dyDescent="0.45">
      <c r="A2819" t="s">
        <v>2821</v>
      </c>
      <c r="B2819">
        <v>34.0966667</v>
      </c>
      <c r="C2819">
        <v>-118.3436111</v>
      </c>
      <c r="D2819" t="str">
        <f>HYPERLINK("https://lh5.googleusercontent.com/p/AF1QipO3dT_uvA09LKqrQppT7W2o18Oc-ZMmiVQOL74o=w408-h725-k-no", "link")</f>
        <v>link</v>
      </c>
    </row>
    <row r="2820" spans="1:4" x14ac:dyDescent="0.45">
      <c r="A2820" t="s">
        <v>2822</v>
      </c>
      <c r="B2820">
        <v>34.0982226</v>
      </c>
      <c r="C2820">
        <v>-118.33646450000001</v>
      </c>
      <c r="D2820" t="str">
        <f>HYPERLINK("https://lh5.googleusercontent.com/p/AF1QipNFIRmskfCFnDMPzwndOsm45YIF8xUTnUk0ZdHu=w408-h544-k-no", "link")</f>
        <v>link</v>
      </c>
    </row>
    <row r="2821" spans="1:4" x14ac:dyDescent="0.45">
      <c r="A2821" t="s">
        <v>2823</v>
      </c>
      <c r="B2821">
        <v>34.098804599999902</v>
      </c>
      <c r="C2821">
        <v>-118.3483568</v>
      </c>
      <c r="D2821" t="str">
        <f>HYPERLINK("https://streetviewpixels-pa.googleapis.com/v1/thumbnail?panoid=stLyuR5SSSZQ5fZD9gUFIA&amp;cb_client=search.gws-prod.gps&amp;w=408&amp;h=240&amp;yaw=202.51656&amp;pitch=0&amp;thumbfov=100", "link")</f>
        <v>link</v>
      </c>
    </row>
    <row r="2822" spans="1:4" x14ac:dyDescent="0.45">
      <c r="A2822" t="s">
        <v>2824</v>
      </c>
      <c r="B2822">
        <v>34.101993800000002</v>
      </c>
      <c r="C2822">
        <v>-118.34205129999999</v>
      </c>
      <c r="D2822" t="str">
        <f>HYPERLINK("https://streetviewpixels-pa.googleapis.com/v1/thumbnail?panoid=dKO5DITgL7mWmfeb5_mmCw&amp;cb_client=search.gws-prod.gps&amp;w=408&amp;h=240&amp;yaw=358.24402&amp;pitch=0&amp;thumbfov=100", "link")</f>
        <v>link</v>
      </c>
    </row>
    <row r="2823" spans="1:4" x14ac:dyDescent="0.45">
      <c r="A2823" t="s">
        <v>2825</v>
      </c>
      <c r="B2823">
        <v>34.102409399999999</v>
      </c>
      <c r="C2823">
        <v>-118.3426348</v>
      </c>
      <c r="D2823" t="str">
        <f>HYPERLINK("https://streetviewpixels-pa.googleapis.com/v1/thumbnail?panoid=4eckAz-hXTzRN1GPMDxXew&amp;cb_client=search.gws-prod.gps&amp;w=408&amp;h=240&amp;yaw=127.72324&amp;pitch=0&amp;thumbfov=100", "link")</f>
        <v>link</v>
      </c>
    </row>
    <row r="2824" spans="1:4" x14ac:dyDescent="0.45">
      <c r="A2824" t="s">
        <v>2826</v>
      </c>
      <c r="B2824">
        <v>34.101227799999997</v>
      </c>
      <c r="C2824">
        <v>-118.34087390000001</v>
      </c>
      <c r="D2824" t="str">
        <f>HYPERLINK("https://lh5.googleusercontent.com/p/AF1QipM9H4tWkEbwMSoyxPi8DGYWvCsYJxL1u8o11gGM=w408-h306-k-no", "link")</f>
        <v>link</v>
      </c>
    </row>
    <row r="2825" spans="1:4" x14ac:dyDescent="0.45">
      <c r="A2825" t="s">
        <v>2827</v>
      </c>
      <c r="B2825">
        <v>34.102645799999998</v>
      </c>
      <c r="C2825">
        <v>-118.3398342</v>
      </c>
      <c r="D2825" t="str">
        <f>HYPERLINK("https://streetviewpixels-pa.googleapis.com/v1/thumbnail?panoid=ns_Fp-drLIBkCpl68cs61A&amp;cb_client=search.gws-prod.gps&amp;w=408&amp;h=240&amp;yaw=177.25867&amp;pitch=0&amp;thumbfov=100", "link")</f>
        <v>link</v>
      </c>
    </row>
    <row r="2826" spans="1:4" x14ac:dyDescent="0.45">
      <c r="A2826" t="s">
        <v>2828</v>
      </c>
      <c r="B2826">
        <v>34.1010408</v>
      </c>
      <c r="C2826">
        <v>-118.3429814</v>
      </c>
      <c r="D2826" t="str">
        <f>HYPERLINK("https://streetviewpixels-pa.googleapis.com/v1/thumbnail?panoid=cFA_3n1F8DLyCjUTwbNgJQ&amp;cb_client=search.gws-prod.gps&amp;w=408&amp;h=240&amp;yaw=92.44744&amp;pitch=0&amp;thumbfov=100", "link")</f>
        <v>link</v>
      </c>
    </row>
    <row r="2827" spans="1:4" x14ac:dyDescent="0.45">
      <c r="A2827" t="s">
        <v>2829</v>
      </c>
      <c r="B2827">
        <v>34.100656600000001</v>
      </c>
      <c r="C2827">
        <v>-118.3410549</v>
      </c>
      <c r="D2827" t="str">
        <f>HYPERLINK("https://streetviewpixels-pa.googleapis.com/v1/thumbnail?panoid=QCu6ls4Eq9JfbtzfquoDwA&amp;cb_client=search.gws-prod.gps&amp;w=408&amp;h=240&amp;yaw=69.25393&amp;pitch=0&amp;thumbfov=100", "link")</f>
        <v>link</v>
      </c>
    </row>
    <row r="2828" spans="1:4" x14ac:dyDescent="0.45">
      <c r="A2828" t="s">
        <v>2830</v>
      </c>
      <c r="B2828">
        <v>34.100563899999997</v>
      </c>
      <c r="C2828">
        <v>-118.3412958</v>
      </c>
      <c r="D2828" t="str">
        <f>HYPERLINK("https://streetviewpixels-pa.googleapis.com/v1/thumbnail?panoid=QCu6ls4Eq9JfbtzfquoDwA&amp;cb_client=search.gws-prod.gps&amp;w=408&amp;h=240&amp;yaw=69.25393&amp;pitch=0&amp;thumbfov=100", "link")</f>
        <v>link</v>
      </c>
    </row>
    <row r="2829" spans="1:4" x14ac:dyDescent="0.45">
      <c r="A2829" t="s">
        <v>2831</v>
      </c>
      <c r="B2829">
        <v>34.101042899999896</v>
      </c>
      <c r="C2829">
        <v>-118.3432001</v>
      </c>
      <c r="D2829" t="str">
        <f>HYPERLINK("https://streetviewpixels-pa.googleapis.com/v1/thumbnail?panoid=cFA_3n1F8DLyCjUTwbNgJQ&amp;cb_client=search.gws-prod.gps&amp;w=408&amp;h=240&amp;yaw=92.44744&amp;pitch=0&amp;thumbfov=100", "link")</f>
        <v>link</v>
      </c>
    </row>
    <row r="2830" spans="1:4" x14ac:dyDescent="0.45">
      <c r="A2830" t="s">
        <v>2832</v>
      </c>
      <c r="B2830">
        <v>34.101586099999999</v>
      </c>
      <c r="C2830">
        <v>-118.3393437</v>
      </c>
      <c r="D2830" t="str">
        <f>HYPERLINK("https://streetviewpixels-pa.googleapis.com/v1/thumbnail?panoid=eMFQunaaF2OoxCXwzDAYuQ&amp;cb_client=search.gws-prod.gps&amp;w=408&amp;h=240&amp;yaw=356.9211&amp;pitch=0&amp;thumbfov=100", "link")</f>
        <v>link</v>
      </c>
    </row>
    <row r="2831" spans="1:4" x14ac:dyDescent="0.45">
      <c r="A2831" t="s">
        <v>2833</v>
      </c>
      <c r="B2831">
        <v>34.101244100000002</v>
      </c>
      <c r="C2831">
        <v>-118.34368360000001</v>
      </c>
      <c r="D2831" t="str">
        <f>HYPERLINK("https://streetviewpixels-pa.googleapis.com/v1/thumbnail?panoid=jaPtaeiVKWc1ifxQypyLhA&amp;cb_client=search.gws-prod.gps&amp;w=408&amp;h=240&amp;yaw=171.60312&amp;pitch=0&amp;thumbfov=100", "link")</f>
        <v>link</v>
      </c>
    </row>
    <row r="2832" spans="1:4" x14ac:dyDescent="0.45">
      <c r="A2832" t="s">
        <v>2834</v>
      </c>
      <c r="B2832">
        <v>34.100645100000001</v>
      </c>
      <c r="C2832">
        <v>-118.3401679</v>
      </c>
      <c r="D2832" t="s">
        <v>5</v>
      </c>
    </row>
    <row r="2833" spans="1:4" x14ac:dyDescent="0.45">
      <c r="A2833" t="s">
        <v>2835</v>
      </c>
      <c r="B2833">
        <v>34.101133400000002</v>
      </c>
      <c r="C2833">
        <v>-118.33924330000001</v>
      </c>
      <c r="D2833" t="s">
        <v>5</v>
      </c>
    </row>
    <row r="2834" spans="1:4" x14ac:dyDescent="0.45">
      <c r="A2834" t="s">
        <v>2836</v>
      </c>
      <c r="B2834">
        <v>34.100648</v>
      </c>
      <c r="C2834">
        <v>-118.339732</v>
      </c>
      <c r="D2834" t="s">
        <v>5</v>
      </c>
    </row>
    <row r="2835" spans="1:4" x14ac:dyDescent="0.45">
      <c r="A2835" t="s">
        <v>2837</v>
      </c>
      <c r="B2835">
        <v>34.100647599999903</v>
      </c>
      <c r="C2835">
        <v>-118.3443753</v>
      </c>
      <c r="D2835" t="str">
        <f>HYPERLINK("https://streetviewpixels-pa.googleapis.com/v1/thumbnail?panoid=WLJ1A3pE3164B0rj7N7ERg&amp;cb_client=search.gws-prod.gps&amp;w=408&amp;h=240&amp;yaw=175.91182&amp;pitch=0&amp;thumbfov=100", "link")</f>
        <v>link</v>
      </c>
    </row>
    <row r="2836" spans="1:4" x14ac:dyDescent="0.45">
      <c r="A2836" t="s">
        <v>2838</v>
      </c>
      <c r="B2836">
        <v>34.102000099999998</v>
      </c>
      <c r="C2836">
        <v>-118.34579410000001</v>
      </c>
      <c r="D2836" t="str">
        <f>HYPERLINK("https://streetviewpixels-pa.googleapis.com/v1/thumbnail?panoid=2RD6zATOjNNtKFvBI8uDSw&amp;cb_client=search.gws-prod.gps&amp;w=408&amp;h=240&amp;yaw=202.38306&amp;pitch=0&amp;thumbfov=100", "link")</f>
        <v>link</v>
      </c>
    </row>
    <row r="2837" spans="1:4" x14ac:dyDescent="0.45">
      <c r="A2837" t="s">
        <v>2839</v>
      </c>
      <c r="B2837">
        <v>34.052084000000001</v>
      </c>
      <c r="C2837">
        <v>-118.2554129</v>
      </c>
      <c r="D2837" t="str">
        <f>HYPERLINK("https://streetviewpixels-pa.googleapis.com/v1/thumbnail?panoid=XdBsYOx4C3d4_bYrrecFdQ&amp;cb_client=search.gws-prod.gps&amp;w=408&amp;h=240&amp;yaw=195.17477&amp;pitch=0&amp;thumbfov=100", "link")</f>
        <v>link</v>
      </c>
    </row>
    <row r="2838" spans="1:4" x14ac:dyDescent="0.45">
      <c r="A2838" t="s">
        <v>2840</v>
      </c>
      <c r="B2838">
        <v>34.052163700000001</v>
      </c>
      <c r="C2838">
        <v>-118.2553221</v>
      </c>
      <c r="D2838" t="str">
        <f>HYPERLINK("https://streetviewpixels-pa.googleapis.com/v1/thumbnail?panoid=VHipJ2bdccSM0_tCyJGOrQ&amp;cb_client=search.gws-prod.gps&amp;w=408&amp;h=240&amp;yaw=127.67268&amp;pitch=0&amp;thumbfov=100", "link")</f>
        <v>link</v>
      </c>
    </row>
    <row r="2839" spans="1:4" x14ac:dyDescent="0.45">
      <c r="A2839" t="s">
        <v>2841</v>
      </c>
      <c r="B2839">
        <v>34.053185900000003</v>
      </c>
      <c r="C2839">
        <v>-118.25675099999999</v>
      </c>
      <c r="D2839" t="str">
        <f>HYPERLINK("https://lh5.googleusercontent.com/p/AF1QipMW1PfMkW9QRb2gcfUE9WmpngQST9uht_Ez9J41=w408-h544-k-no", "link")</f>
        <v>link</v>
      </c>
    </row>
    <row r="2840" spans="1:4" x14ac:dyDescent="0.45">
      <c r="A2840" t="s">
        <v>2842</v>
      </c>
      <c r="B2840">
        <v>34.051709799999998</v>
      </c>
      <c r="C2840">
        <v>-118.2623304</v>
      </c>
      <c r="D2840" t="str">
        <f>HYPERLINK("https://streetviewpixels-pa.googleapis.com/v1/thumbnail?panoid=WN1YdzTohk09CDLfJsDsEA&amp;cb_client=search.gws-prod.gps&amp;w=408&amp;h=240&amp;yaw=12.949377&amp;pitch=0&amp;thumbfov=100", "link")</f>
        <v>link</v>
      </c>
    </row>
    <row r="2841" spans="1:4" x14ac:dyDescent="0.45">
      <c r="A2841" t="s">
        <v>2843</v>
      </c>
      <c r="B2841">
        <v>34.050432000000001</v>
      </c>
      <c r="C2841">
        <v>-118.2584902</v>
      </c>
      <c r="D2841" t="str">
        <f>HYPERLINK("https://streetviewpixels-pa.googleapis.com/v1/thumbnail?panoid=-rG7c1I9CArDZaoOAdkKjA&amp;cb_client=search.gws-prod.gps&amp;w=408&amp;h=240&amp;yaw=120.187&amp;pitch=0&amp;thumbfov=100", "link")</f>
        <v>link</v>
      </c>
    </row>
    <row r="2842" spans="1:4" x14ac:dyDescent="0.45">
      <c r="A2842" t="s">
        <v>2844</v>
      </c>
      <c r="B2842">
        <v>34.050121699999998</v>
      </c>
      <c r="C2842">
        <v>-118.2579459</v>
      </c>
      <c r="D2842" t="str">
        <f>HYPERLINK("https://lh5.googleusercontent.com/p/AF1QipOX_PRdQhBBTajcR2htxlMblLhDPOLiFVlHk54X=w408-h544-k-no", "link")</f>
        <v>link</v>
      </c>
    </row>
    <row r="2843" spans="1:4" x14ac:dyDescent="0.45">
      <c r="A2843" t="s">
        <v>2845</v>
      </c>
      <c r="B2843">
        <v>34.050740099999999</v>
      </c>
      <c r="C2843">
        <v>-118.25966390000001</v>
      </c>
      <c r="D2843" t="str">
        <f>HYPERLINK("https://lh5.googleusercontent.com/p/AF1QipOEI7uJE6MCeZmJ85RfdFM69juLp_V-iXlqGqvT=w408-h725-k-no", "link")</f>
        <v>link</v>
      </c>
    </row>
    <row r="2844" spans="1:4" x14ac:dyDescent="0.45">
      <c r="A2844" t="s">
        <v>2846</v>
      </c>
      <c r="B2844">
        <v>34.050773700000001</v>
      </c>
      <c r="C2844">
        <v>-118.2575159</v>
      </c>
      <c r="D2844" t="str">
        <f>HYPERLINK("https://streetviewpixels-pa.googleapis.com/v1/thumbnail?panoid=56Rz8orsejgcvQCNC-ut2A&amp;cb_client=search.gws-prod.gps&amp;w=408&amp;h=240&amp;yaw=317.84027&amp;pitch=0&amp;thumbfov=100", "link")</f>
        <v>link</v>
      </c>
    </row>
    <row r="2845" spans="1:4" x14ac:dyDescent="0.45">
      <c r="A2845" t="s">
        <v>2847</v>
      </c>
      <c r="B2845">
        <v>34.050957599999997</v>
      </c>
      <c r="C2845">
        <v>-118.2600449</v>
      </c>
      <c r="D2845" t="str">
        <f>HYPERLINK("https://streetviewpixels-pa.googleapis.com/v1/thumbnail?panoid=m6jb8m7VMxpn8BMC_ZAagg&amp;cb_client=search.gws-prod.gps&amp;w=408&amp;h=240&amp;yaw=27.938251&amp;pitch=0&amp;thumbfov=100", "link")</f>
        <v>link</v>
      </c>
    </row>
    <row r="2846" spans="1:4" x14ac:dyDescent="0.45">
      <c r="A2846" t="s">
        <v>2848</v>
      </c>
      <c r="B2846">
        <v>34.049236200000003</v>
      </c>
      <c r="C2846">
        <v>-118.2571016</v>
      </c>
      <c r="D2846" t="str">
        <f>HYPERLINK("https://lh5.googleusercontent.com/p/AF1QipPxV44w7_E2-G1UilxS3fe0sST61j1DDt_UG4eZ=w426-h240-k-no", "link")</f>
        <v>link</v>
      </c>
    </row>
    <row r="2847" spans="1:4" x14ac:dyDescent="0.45">
      <c r="A2847" t="s">
        <v>2849</v>
      </c>
      <c r="B2847">
        <v>34.051951099999997</v>
      </c>
      <c r="C2847">
        <v>-118.25852140000001</v>
      </c>
      <c r="D2847" t="str">
        <f>HYPERLINK("https://streetviewpixels-pa.googleapis.com/v1/thumbnail?panoid=Xc483iDAdnCitAV__Fhn7A&amp;cb_client=search.gws-prod.gps&amp;w=408&amp;h=240&amp;yaw=301.44064&amp;pitch=0&amp;thumbfov=100", "link")</f>
        <v>link</v>
      </c>
    </row>
    <row r="2848" spans="1:4" x14ac:dyDescent="0.45">
      <c r="A2848" t="s">
        <v>2850</v>
      </c>
      <c r="B2848">
        <v>34.050872099999999</v>
      </c>
      <c r="C2848">
        <v>-118.256511</v>
      </c>
      <c r="D2848" t="str">
        <f>HYPERLINK("https://streetviewpixels-pa.googleapis.com/v1/thumbnail?panoid=Xyw_mLF5PXQDvQimsPBcng&amp;cb_client=search.gws-prod.gps&amp;w=408&amp;h=240&amp;yaw=137.90451&amp;pitch=0&amp;thumbfov=100", "link")</f>
        <v>link</v>
      </c>
    </row>
    <row r="2849" spans="1:4" x14ac:dyDescent="0.45">
      <c r="A2849" t="s">
        <v>2851</v>
      </c>
      <c r="B2849">
        <v>34.049051200000001</v>
      </c>
      <c r="C2849">
        <v>-118.2567205</v>
      </c>
      <c r="D2849" t="str">
        <f>HYPERLINK("https://lh5.googleusercontent.com/p/AF1QipOZ-fQ-11Oi3AILV-GIXbikEvdh5IPec7a8DFO6=w408-h873-k-no", "link")</f>
        <v>link</v>
      </c>
    </row>
    <row r="2850" spans="1:4" x14ac:dyDescent="0.45">
      <c r="A2850" t="s">
        <v>2852</v>
      </c>
      <c r="B2850">
        <v>34.051476999999998</v>
      </c>
      <c r="C2850">
        <v>-118.2567737</v>
      </c>
      <c r="D2850" t="str">
        <f>HYPERLINK("https://lh5.googleusercontent.com/p/AF1QipMtDGv4SF9682-AX9OrCMC-0KJ6_a7WJ1_Us1O0=w426-h240-k-no", "link")</f>
        <v>link</v>
      </c>
    </row>
    <row r="2851" spans="1:4" x14ac:dyDescent="0.45">
      <c r="A2851" t="s">
        <v>2853</v>
      </c>
      <c r="B2851">
        <v>34.043789599999997</v>
      </c>
      <c r="C2851">
        <v>-118.25009110000001</v>
      </c>
      <c r="D2851" t="str">
        <f>HYPERLINK("https://streetviewpixels-pa.googleapis.com/v1/thumbnail?panoid=rSq8xQbbOn6LqcrlvxzCqg&amp;cb_client=search.gws-prod.gps&amp;w=408&amp;h=240&amp;yaw=334.01123&amp;pitch=0&amp;thumbfov=100", "link")</f>
        <v>link</v>
      </c>
    </row>
    <row r="2852" spans="1:4" x14ac:dyDescent="0.45">
      <c r="A2852" t="s">
        <v>2854</v>
      </c>
      <c r="B2852">
        <v>34.043486999999999</v>
      </c>
      <c r="C2852">
        <v>-118.24997260000001</v>
      </c>
      <c r="D2852" t="str">
        <f>HYPERLINK("https://streetviewpixels-pa.googleapis.com/v1/thumbnail?panoid=T8Zz1O3zaWsEHUJ79SqGMw&amp;cb_client=search.gws-prod.gps&amp;w=408&amp;h=240&amp;yaw=96.90305&amp;pitch=0&amp;thumbfov=100", "link")</f>
        <v>link</v>
      </c>
    </row>
    <row r="2853" spans="1:4" x14ac:dyDescent="0.45">
      <c r="A2853" t="s">
        <v>2855</v>
      </c>
      <c r="B2853">
        <v>34.043416800000003</v>
      </c>
      <c r="C2853">
        <v>-118.2500637</v>
      </c>
      <c r="D2853" t="str">
        <f>HYPERLINK("https://streetviewpixels-pa.googleapis.com/v1/thumbnail?panoid=0hYk0OeKuc3lX2ACgqKknQ&amp;cb_client=search.gws-prod.gps&amp;w=408&amp;h=240&amp;yaw=145.2395&amp;pitch=0&amp;thumbfov=100", "link")</f>
        <v>link</v>
      </c>
    </row>
    <row r="2854" spans="1:4" x14ac:dyDescent="0.45">
      <c r="A2854" t="s">
        <v>2856</v>
      </c>
      <c r="B2854">
        <v>34.0445323</v>
      </c>
      <c r="C2854">
        <v>-118.2480796</v>
      </c>
      <c r="D2854" t="s">
        <v>5</v>
      </c>
    </row>
    <row r="2855" spans="1:4" x14ac:dyDescent="0.45">
      <c r="A2855" t="s">
        <v>2857</v>
      </c>
      <c r="B2855">
        <v>34.0453896</v>
      </c>
      <c r="C2855">
        <v>-118.24579730000001</v>
      </c>
      <c r="D2855" t="str">
        <f>HYPERLINK("https://streetviewpixels-pa.googleapis.com/v1/thumbnail?panoid=26gNFwhPRYwAvpFFaUxXrw&amp;cb_client=search.gws-prod.gps&amp;w=408&amp;h=240&amp;yaw=344.80597&amp;pitch=0&amp;thumbfov=100", "link")</f>
        <v>link</v>
      </c>
    </row>
    <row r="2856" spans="1:4" x14ac:dyDescent="0.45">
      <c r="A2856" t="s">
        <v>2858</v>
      </c>
      <c r="B2856">
        <v>34.045263400000003</v>
      </c>
      <c r="C2856">
        <v>-118.2455987</v>
      </c>
      <c r="D2856" t="str">
        <f>HYPERLINK("https://streetviewpixels-pa.googleapis.com/v1/thumbnail?panoid=26gNFwhPRYwAvpFFaUxXrw&amp;cb_client=search.gws-prod.gps&amp;w=408&amp;h=240&amp;yaw=344.80597&amp;pitch=0&amp;thumbfov=100", "link")</f>
        <v>link</v>
      </c>
    </row>
    <row r="2857" spans="1:4" x14ac:dyDescent="0.45">
      <c r="A2857" t="s">
        <v>2859</v>
      </c>
      <c r="B2857">
        <v>34.043143800000003</v>
      </c>
      <c r="C2857">
        <v>-118.2483586</v>
      </c>
      <c r="D2857" t="str">
        <f>HYPERLINK("https://streetviewpixels-pa.googleapis.com/v1/thumbnail?panoid=Rf7wx_CdxIZUWI_ihys5Vg&amp;cb_client=search.gws-prod.gps&amp;w=408&amp;h=240&amp;yaw=125.86915&amp;pitch=0&amp;thumbfov=100", "link")</f>
        <v>link</v>
      </c>
    </row>
    <row r="2858" spans="1:4" x14ac:dyDescent="0.45">
      <c r="A2858" t="s">
        <v>2860</v>
      </c>
      <c r="B2858">
        <v>34.060366199999997</v>
      </c>
      <c r="C2858">
        <v>-118.24003310000001</v>
      </c>
      <c r="D2858" t="s">
        <v>5</v>
      </c>
    </row>
    <row r="2859" spans="1:4" x14ac:dyDescent="0.45">
      <c r="A2859" t="s">
        <v>2861</v>
      </c>
      <c r="B2859">
        <v>34.060382400000002</v>
      </c>
      <c r="C2859">
        <v>-118.2428859</v>
      </c>
      <c r="D2859" t="s">
        <v>5</v>
      </c>
    </row>
    <row r="2860" spans="1:4" x14ac:dyDescent="0.45">
      <c r="A2860" t="s">
        <v>2862</v>
      </c>
      <c r="B2860">
        <v>34.059808699999998</v>
      </c>
      <c r="C2860">
        <v>-118.24446469999999</v>
      </c>
      <c r="D2860" t="str">
        <f>HYPERLINK("https://streetviewpixels-pa.googleapis.com/v1/thumbnail?panoid=BsFt__XFAtn3k-ueCvGllA&amp;cb_client=search.gws-prod.gps&amp;w=408&amp;h=240&amp;yaw=130.63873&amp;pitch=0&amp;thumbfov=100", "link")</f>
        <v>link</v>
      </c>
    </row>
    <row r="2861" spans="1:4" x14ac:dyDescent="0.45">
      <c r="A2861" t="s">
        <v>2863</v>
      </c>
      <c r="B2861">
        <v>34.054696499999999</v>
      </c>
      <c r="C2861">
        <v>-118.2459468</v>
      </c>
      <c r="D2861" t="s">
        <v>5</v>
      </c>
    </row>
    <row r="2862" spans="1:4" x14ac:dyDescent="0.45">
      <c r="A2862" t="s">
        <v>2864</v>
      </c>
      <c r="B2862">
        <v>34.0606182</v>
      </c>
      <c r="C2862">
        <v>-118.2432682</v>
      </c>
      <c r="D2862" t="str">
        <f>HYPERLINK("https://streetviewpixels-pa.googleapis.com/v1/thumbnail?panoid=W3OBu8BrqHLjmRePadXiCQ&amp;cb_client=search.gws-prod.gps&amp;w=408&amp;h=240&amp;yaw=121.882805&amp;pitch=0&amp;thumbfov=100", "link")</f>
        <v>link</v>
      </c>
    </row>
    <row r="2863" spans="1:4" x14ac:dyDescent="0.45">
      <c r="A2863" t="s">
        <v>2865</v>
      </c>
      <c r="B2863">
        <v>34.054451899999997</v>
      </c>
      <c r="C2863">
        <v>-118.246025</v>
      </c>
      <c r="D2863" t="str">
        <f>HYPERLINK("https://streetviewpixels-pa.googleapis.com/v1/thumbnail?panoid=bnqGK_oaWYAV3fjZrhK15Q&amp;cb_client=search.gws-prod.gps&amp;w=408&amp;h=240&amp;yaw=121.21132&amp;pitch=0&amp;thumbfov=100", "link")</f>
        <v>link</v>
      </c>
    </row>
    <row r="2864" spans="1:4" x14ac:dyDescent="0.45">
      <c r="A2864" t="s">
        <v>2866</v>
      </c>
      <c r="B2864">
        <v>34.060863599999998</v>
      </c>
      <c r="C2864">
        <v>-118.2385458</v>
      </c>
      <c r="D2864" t="s">
        <v>5</v>
      </c>
    </row>
    <row r="2865" spans="1:4" x14ac:dyDescent="0.45">
      <c r="A2865" t="s">
        <v>2867</v>
      </c>
      <c r="B2865">
        <v>34.057599699999997</v>
      </c>
      <c r="C2865">
        <v>-118.2466447</v>
      </c>
      <c r="D2865" t="s">
        <v>5</v>
      </c>
    </row>
    <row r="2866" spans="1:4" x14ac:dyDescent="0.45">
      <c r="A2866" t="s">
        <v>2868</v>
      </c>
      <c r="B2866">
        <v>34.061335700000001</v>
      </c>
      <c r="C2866">
        <v>-118.2414697</v>
      </c>
      <c r="D2866" t="s">
        <v>5</v>
      </c>
    </row>
    <row r="2867" spans="1:4" x14ac:dyDescent="0.45">
      <c r="A2867" t="s">
        <v>2869</v>
      </c>
      <c r="B2867">
        <v>34.061046999999903</v>
      </c>
      <c r="C2867">
        <v>-118.23873159999999</v>
      </c>
      <c r="D2867" t="s">
        <v>5</v>
      </c>
    </row>
    <row r="2868" spans="1:4" x14ac:dyDescent="0.45">
      <c r="A2868" t="s">
        <v>2870</v>
      </c>
      <c r="B2868">
        <v>34.057254499999999</v>
      </c>
      <c r="C2868">
        <v>-118.2468502</v>
      </c>
      <c r="D2868" t="str">
        <f>HYPERLINK("https://streetviewpixels-pa.googleapis.com/v1/thumbnail?panoid=BdQLPnZUFIgeQ6xT8iqAAA&amp;cb_client=search.gws-prod.gps&amp;w=408&amp;h=240&amp;yaw=89.69359&amp;pitch=0&amp;thumbfov=100", "link")</f>
        <v>link</v>
      </c>
    </row>
    <row r="2869" spans="1:4" x14ac:dyDescent="0.45">
      <c r="A2869" t="s">
        <v>2871</v>
      </c>
      <c r="B2869">
        <v>34.056514999999997</v>
      </c>
      <c r="C2869">
        <v>-118.24096</v>
      </c>
      <c r="D2869" t="s">
        <v>5</v>
      </c>
    </row>
    <row r="2870" spans="1:4" x14ac:dyDescent="0.45">
      <c r="A2870" t="s">
        <v>2872</v>
      </c>
      <c r="B2870">
        <v>34.056225400000002</v>
      </c>
      <c r="C2870">
        <v>-118.2422121</v>
      </c>
      <c r="D2870" t="str">
        <f>HYPERLINK("https://streetviewpixels-pa.googleapis.com/v1/thumbnail?panoid=0h1t3NHgt1hdvVC1g3011w&amp;cb_client=search.gws-prod.gps&amp;w=408&amp;h=240&amp;yaw=217.7899&amp;pitch=0&amp;thumbfov=100", "link")</f>
        <v>link</v>
      </c>
    </row>
    <row r="2871" spans="1:4" x14ac:dyDescent="0.45">
      <c r="A2871" t="s">
        <v>2873</v>
      </c>
      <c r="B2871">
        <v>34.0600101</v>
      </c>
      <c r="C2871">
        <v>-118.24229200000001</v>
      </c>
      <c r="D2871" t="s">
        <v>5</v>
      </c>
    </row>
    <row r="2872" spans="1:4" x14ac:dyDescent="0.45">
      <c r="A2872" t="s">
        <v>2874</v>
      </c>
      <c r="B2872">
        <v>34.0568916</v>
      </c>
      <c r="C2872">
        <v>-118.24549</v>
      </c>
      <c r="D2872" t="s">
        <v>5</v>
      </c>
    </row>
    <row r="2873" spans="1:4" x14ac:dyDescent="0.45">
      <c r="A2873" t="s">
        <v>2875</v>
      </c>
      <c r="B2873">
        <v>34.060287199999898</v>
      </c>
      <c r="C2873">
        <v>-118.23992560000001</v>
      </c>
      <c r="D2873" t="s">
        <v>5</v>
      </c>
    </row>
    <row r="2874" spans="1:4" x14ac:dyDescent="0.45">
      <c r="A2874" t="s">
        <v>2876</v>
      </c>
      <c r="B2874">
        <v>34.034096400000003</v>
      </c>
      <c r="C2874">
        <v>-118.2640262</v>
      </c>
      <c r="D2874" t="str">
        <f>HYPERLINK("https://streetviewpixels-pa.googleapis.com/v1/thumbnail?panoid=BTnBkAMV_lV3CzsqiddkqQ&amp;cb_client=search.gws-prod.gps&amp;w=408&amp;h=240&amp;yaw=38.077946&amp;pitch=0&amp;thumbfov=100", "link")</f>
        <v>link</v>
      </c>
    </row>
    <row r="2875" spans="1:4" x14ac:dyDescent="0.45">
      <c r="A2875" t="s">
        <v>2877</v>
      </c>
      <c r="B2875">
        <v>34.026795999999898</v>
      </c>
      <c r="C2875">
        <v>-118.2717937</v>
      </c>
      <c r="D2875" t="str">
        <f>HYPERLINK("https://streetviewpixels-pa.googleapis.com/v1/thumbnail?panoid=7GiTs29iEmVIwYoFzhX1Ng&amp;cb_client=search.gws-prod.gps&amp;w=408&amp;h=240&amp;yaw=147.48848&amp;pitch=0&amp;thumbfov=100", "link")</f>
        <v>link</v>
      </c>
    </row>
    <row r="2876" spans="1:4" x14ac:dyDescent="0.45">
      <c r="A2876" t="s">
        <v>2878</v>
      </c>
      <c r="B2876">
        <v>34.033689000000003</v>
      </c>
      <c r="C2876">
        <v>-118.2613537</v>
      </c>
      <c r="D2876" t="str">
        <f>HYPERLINK("https://streetviewpixels-pa.googleapis.com/v1/thumbnail?panoid=hXYKbS36CVBJPyS9GJz-zw&amp;cb_client=search.gws-prod.gps&amp;w=408&amp;h=240&amp;yaw=112.78968&amp;pitch=0&amp;thumbfov=100", "link")</f>
        <v>link</v>
      </c>
    </row>
    <row r="2877" spans="1:4" x14ac:dyDescent="0.45">
      <c r="A2877" t="s">
        <v>2879</v>
      </c>
      <c r="B2877">
        <v>34.0351274</v>
      </c>
      <c r="C2877">
        <v>-118.2622655</v>
      </c>
      <c r="D2877" t="str">
        <f>HYPERLINK("https://streetviewpixels-pa.googleapis.com/v1/thumbnail?panoid=hXYKbS36CVBJPyS9GJz-zw&amp;cb_client=search.gws-prod.gps&amp;w=408&amp;h=240&amp;yaw=112.78968&amp;pitch=0&amp;thumbfov=100", "link")</f>
        <v>link</v>
      </c>
    </row>
    <row r="2878" spans="1:4" x14ac:dyDescent="0.45">
      <c r="A2878" t="s">
        <v>2880</v>
      </c>
      <c r="B2878">
        <v>34.027487000000001</v>
      </c>
      <c r="C2878">
        <v>-118.2752131</v>
      </c>
      <c r="D2878" t="str">
        <f>HYPERLINK("https://streetviewpixels-pa.googleapis.com/v1/thumbnail?panoid=JVDkCIfbc64EVoGFHhcVeA&amp;cb_client=search.gws-prod.gps&amp;w=408&amp;h=240&amp;yaw=325.92752&amp;pitch=0&amp;thumbfov=100", "link")</f>
        <v>link</v>
      </c>
    </row>
    <row r="2879" spans="1:4" x14ac:dyDescent="0.45">
      <c r="A2879" t="s">
        <v>2881</v>
      </c>
      <c r="B2879">
        <v>34.031356500000001</v>
      </c>
      <c r="C2879">
        <v>-118.2687543</v>
      </c>
      <c r="D2879" t="str">
        <f>HYPERLINK("https://streetviewpixels-pa.googleapis.com/v1/thumbnail?panoid=vKqcVfk_J3sD2Py0UVvtDA&amp;cb_client=search.gws-prod.gps&amp;w=408&amp;h=240&amp;yaw=252.62517&amp;pitch=0&amp;thumbfov=100", "link")</f>
        <v>link</v>
      </c>
    </row>
    <row r="2880" spans="1:4" x14ac:dyDescent="0.45">
      <c r="A2880" t="s">
        <v>2882</v>
      </c>
      <c r="B2880">
        <v>34.031339600000003</v>
      </c>
      <c r="C2880">
        <v>-118.26863470000001</v>
      </c>
      <c r="D2880" t="str">
        <f>HYPERLINK("https://streetviewpixels-pa.googleapis.com/v1/thumbnail?panoid=54Bn9q3ywNdSOKE3sv8pOQ&amp;cb_client=search.gws-prod.gps&amp;w=408&amp;h=240&amp;yaw=296.77148&amp;pitch=0&amp;thumbfov=100", "link")</f>
        <v>link</v>
      </c>
    </row>
    <row r="2881" spans="1:4" x14ac:dyDescent="0.45">
      <c r="A2881" t="s">
        <v>2883</v>
      </c>
      <c r="B2881">
        <v>34.031281300000003</v>
      </c>
      <c r="C2881">
        <v>-118.2688967</v>
      </c>
      <c r="D2881" t="str">
        <f>HYPERLINK("https://streetviewpixels-pa.googleapis.com/v1/thumbnail?panoid=o2b6rnJPNuIYCodjGmpuwA&amp;cb_client=search.gws-prod.gps&amp;w=408&amp;h=240&amp;yaw=111.812805&amp;pitch=0&amp;thumbfov=100", "link")</f>
        <v>link</v>
      </c>
    </row>
    <row r="2882" spans="1:4" x14ac:dyDescent="0.45">
      <c r="A2882" t="s">
        <v>2884</v>
      </c>
      <c r="B2882">
        <v>34.031207100000003</v>
      </c>
      <c r="C2882">
        <v>-118.2678007</v>
      </c>
      <c r="D2882" t="str">
        <f>HYPERLINK("https://lh5.googleusercontent.com/p/AF1QipMvZtJeMAEho7nTwJoGkYXLS7VqvIL3nEDevlvv=w408-h544-k-no", "link")</f>
        <v>link</v>
      </c>
    </row>
    <row r="2883" spans="1:4" x14ac:dyDescent="0.45">
      <c r="A2883" t="s">
        <v>2885</v>
      </c>
      <c r="B2883">
        <v>34.030162900000001</v>
      </c>
      <c r="C2883">
        <v>-118.2681638</v>
      </c>
      <c r="D2883" t="str">
        <f>HYPERLINK("https://streetviewpixels-pa.googleapis.com/v1/thumbnail?panoid=Bu5ambK4UZJUU36V8lJj9A&amp;cb_client=search.gws-prod.gps&amp;w=408&amp;h=240&amp;yaw=275.99637&amp;pitch=0&amp;thumbfov=100", "link")</f>
        <v>link</v>
      </c>
    </row>
    <row r="2884" spans="1:4" x14ac:dyDescent="0.45">
      <c r="A2884" t="s">
        <v>2886</v>
      </c>
      <c r="B2884">
        <v>34.029788199999999</v>
      </c>
      <c r="C2884">
        <v>-118.2685475</v>
      </c>
      <c r="D2884" t="str">
        <f>HYPERLINK("https://streetviewpixels-pa.googleapis.com/v1/thumbnail?panoid=MMTnBegqLsOF-pUZaD4XiQ&amp;cb_client=search.gws-prod.gps&amp;w=408&amp;h=240&amp;yaw=201.77284&amp;pitch=0&amp;thumbfov=100", "link")</f>
        <v>link</v>
      </c>
    </row>
    <row r="2885" spans="1:4" x14ac:dyDescent="0.45">
      <c r="A2885" t="s">
        <v>2887</v>
      </c>
      <c r="B2885">
        <v>34.031244600000001</v>
      </c>
      <c r="C2885">
        <v>-118.2666406</v>
      </c>
      <c r="D2885" t="str">
        <f>HYPERLINK("https://lh5.googleusercontent.com/p/AF1QipNMf7490VaXLIART6uvEfa-GGW5RSGamyA71YcK=w408-h272-k-no", "link")</f>
        <v>link</v>
      </c>
    </row>
    <row r="2886" spans="1:4" x14ac:dyDescent="0.45">
      <c r="A2886" t="s">
        <v>2888</v>
      </c>
      <c r="B2886">
        <v>34.030250100000003</v>
      </c>
      <c r="C2886">
        <v>-118.2670974</v>
      </c>
      <c r="D2886" t="s">
        <v>5</v>
      </c>
    </row>
    <row r="2887" spans="1:4" x14ac:dyDescent="0.45">
      <c r="A2887" t="s">
        <v>2889</v>
      </c>
      <c r="B2887">
        <v>34.030086500000003</v>
      </c>
      <c r="C2887">
        <v>-118.27037660000001</v>
      </c>
      <c r="D2887" t="str">
        <f>HYPERLINK("https://streetviewpixels-pa.googleapis.com/v1/thumbnail?panoid=wK4evXwk05fmPMBP8GMGIw&amp;cb_client=search.gws-prod.gps&amp;w=408&amp;h=240&amp;yaw=299.07285&amp;pitch=0&amp;thumbfov=100", "link")</f>
        <v>link</v>
      </c>
    </row>
    <row r="2888" spans="1:4" x14ac:dyDescent="0.45">
      <c r="A2888" t="s">
        <v>2890</v>
      </c>
      <c r="B2888">
        <v>34.031226400000001</v>
      </c>
      <c r="C2888">
        <v>-118.26592770000001</v>
      </c>
      <c r="D2888" t="s">
        <v>5</v>
      </c>
    </row>
    <row r="2889" spans="1:4" x14ac:dyDescent="0.45">
      <c r="A2889" t="s">
        <v>2891</v>
      </c>
      <c r="B2889">
        <v>34.0299975</v>
      </c>
      <c r="C2889">
        <v>-118.2661839</v>
      </c>
      <c r="D2889" t="s">
        <v>5</v>
      </c>
    </row>
    <row r="2890" spans="1:4" x14ac:dyDescent="0.45">
      <c r="A2890" t="s">
        <v>2892</v>
      </c>
      <c r="B2890">
        <v>34.029919900000003</v>
      </c>
      <c r="C2890">
        <v>-118.2715731</v>
      </c>
      <c r="D2890" t="s">
        <v>5</v>
      </c>
    </row>
    <row r="2891" spans="1:4" x14ac:dyDescent="0.45">
      <c r="A2891" t="s">
        <v>2893</v>
      </c>
      <c r="B2891">
        <v>34.032439400000001</v>
      </c>
      <c r="C2891">
        <v>-118.272122</v>
      </c>
      <c r="D2891" t="s">
        <v>5</v>
      </c>
    </row>
    <row r="2892" spans="1:4" x14ac:dyDescent="0.45">
      <c r="A2892" t="s">
        <v>2894</v>
      </c>
      <c r="B2892">
        <v>34.030735100000001</v>
      </c>
      <c r="C2892">
        <v>-118.2725567</v>
      </c>
      <c r="D2892" t="str">
        <f>HYPERLINK("https://lh5.googleusercontent.com/p/AF1QipPbvRfEh7o62nbChLFtOZ4ODoNh-cTN-5ZcZmiy=w408-h544-k-no", "link")</f>
        <v>link</v>
      </c>
    </row>
    <row r="2893" spans="1:4" x14ac:dyDescent="0.45">
      <c r="A2893" t="s">
        <v>2895</v>
      </c>
      <c r="B2893">
        <v>34.030213600000003</v>
      </c>
      <c r="C2893">
        <v>-118.2649962</v>
      </c>
      <c r="D2893" t="str">
        <f>HYPERLINK("https://lh5.googleusercontent.com/p/AF1QipOfNFHqW8yfAojKjyNGwj_WjGzAmCpbIVkOpyYA=w408-h544-k-no", "link")</f>
        <v>link</v>
      </c>
    </row>
    <row r="2894" spans="1:4" x14ac:dyDescent="0.45">
      <c r="A2894" t="s">
        <v>2896</v>
      </c>
      <c r="B2894">
        <v>34.028169300000002</v>
      </c>
      <c r="C2894">
        <v>-118.2704916</v>
      </c>
      <c r="D2894" t="str">
        <f>HYPERLINK("https://streetviewpixels-pa.googleapis.com/v1/thumbnail?panoid=4WVak26LiTa1yM_PbXl2Hg&amp;cb_client=search.gws-prod.gps&amp;w=408&amp;h=240&amp;yaw=55.960766&amp;pitch=0&amp;thumbfov=100", "link")</f>
        <v>link</v>
      </c>
    </row>
    <row r="2895" spans="1:4" x14ac:dyDescent="0.45">
      <c r="A2895" t="s">
        <v>2897</v>
      </c>
      <c r="B2895">
        <v>34.032331800000001</v>
      </c>
      <c r="C2895">
        <v>-118.2728875</v>
      </c>
      <c r="D2895" t="str">
        <f>HYPERLINK("https://streetviewpixels-pa.googleapis.com/v1/thumbnail?panoid=bowdy7J_-3fgGT8gF6astA&amp;cb_client=search.gws-prod.gps&amp;w=408&amp;h=240&amp;yaw=213.12222&amp;pitch=0&amp;thumbfov=100", "link")</f>
        <v>link</v>
      </c>
    </row>
    <row r="2896" spans="1:4" x14ac:dyDescent="0.45">
      <c r="A2896" t="s">
        <v>2898</v>
      </c>
      <c r="B2896">
        <v>34.051325299999903</v>
      </c>
      <c r="C2896">
        <v>-118.2405823</v>
      </c>
      <c r="D2896" t="str">
        <f>HYPERLINK("https://streetviewpixels-pa.googleapis.com/v1/thumbnail?panoid=I_iqPDV8TMf7BasQKCIrJQ&amp;cb_client=search.gws-prod.gps&amp;w=408&amp;h=240&amp;yaw=277.85895&amp;pitch=0&amp;thumbfov=100", "link")</f>
        <v>link</v>
      </c>
    </row>
    <row r="2897" spans="1:4" x14ac:dyDescent="0.45">
      <c r="A2897" t="s">
        <v>2899</v>
      </c>
      <c r="B2897">
        <v>34.048352800000004</v>
      </c>
      <c r="C2897">
        <v>-118.2405049</v>
      </c>
      <c r="D2897" t="str">
        <f>HYPERLINK("https://streetviewpixels-pa.googleapis.com/v1/thumbnail?panoid=fAqmJG-_gjNu80JEe1evbw&amp;cb_client=search.gws-prod.gps&amp;w=408&amp;h=240&amp;yaw=213.22679&amp;pitch=0&amp;thumbfov=100", "link")</f>
        <v>link</v>
      </c>
    </row>
    <row r="2898" spans="1:4" x14ac:dyDescent="0.45">
      <c r="A2898" t="s">
        <v>2900</v>
      </c>
      <c r="B2898">
        <v>34.048283300000001</v>
      </c>
      <c r="C2898">
        <v>-118.2405016</v>
      </c>
      <c r="D2898" t="str">
        <f>HYPERLINK("https://streetviewpixels-pa.googleapis.com/v1/thumbnail?panoid=fAqmJG-_gjNu80JEe1evbw&amp;cb_client=search.gws-prod.gps&amp;w=408&amp;h=240&amp;yaw=213.22679&amp;pitch=0&amp;thumbfov=100", "link")</f>
        <v>link</v>
      </c>
    </row>
    <row r="2899" spans="1:4" x14ac:dyDescent="0.45">
      <c r="A2899" t="s">
        <v>2901</v>
      </c>
      <c r="B2899">
        <v>34.0514188</v>
      </c>
      <c r="C2899">
        <v>-118.2407608</v>
      </c>
      <c r="D2899" t="str">
        <f>HYPERLINK("https://streetviewpixels-pa.googleapis.com/v1/thumbnail?panoid=I_iqPDV8TMf7BasQKCIrJQ&amp;cb_client=search.gws-prod.gps&amp;w=408&amp;h=240&amp;yaw=277.85895&amp;pitch=0&amp;thumbfov=100", "link")</f>
        <v>link</v>
      </c>
    </row>
    <row r="2900" spans="1:4" x14ac:dyDescent="0.45">
      <c r="A2900" t="s">
        <v>2902</v>
      </c>
      <c r="B2900">
        <v>34.047831600000002</v>
      </c>
      <c r="C2900">
        <v>-118.2405026</v>
      </c>
      <c r="D2900" t="s">
        <v>5</v>
      </c>
    </row>
    <row r="2901" spans="1:4" x14ac:dyDescent="0.45">
      <c r="A2901" t="s">
        <v>2903</v>
      </c>
      <c r="B2901">
        <v>34.045097499999997</v>
      </c>
      <c r="C2901">
        <v>-118.23657179999999</v>
      </c>
      <c r="D2901" t="str">
        <f>HYPERLINK("https://streetviewpixels-pa.googleapis.com/v1/thumbnail?panoid=OuIa5slbGWH6UHfAz3gn4g&amp;cb_client=search.gws-prod.gps&amp;w=408&amp;h=240&amp;yaw=312.42236&amp;pitch=0&amp;thumbfov=100", "link")</f>
        <v>link</v>
      </c>
    </row>
    <row r="2902" spans="1:4" x14ac:dyDescent="0.45">
      <c r="A2902" t="s">
        <v>2904</v>
      </c>
      <c r="B2902">
        <v>34.047297800000003</v>
      </c>
      <c r="C2902">
        <v>-118.24142399999999</v>
      </c>
      <c r="D2902" t="s">
        <v>5</v>
      </c>
    </row>
    <row r="2903" spans="1:4" x14ac:dyDescent="0.45">
      <c r="A2903" t="s">
        <v>2905</v>
      </c>
      <c r="B2903">
        <v>34.044975600000001</v>
      </c>
      <c r="C2903">
        <v>-118.2356424</v>
      </c>
      <c r="D2903" t="str">
        <f>HYPERLINK("https://streetviewpixels-pa.googleapis.com/v1/thumbnail?panoid=q_OQO9A31CI5wqanpxgXgA&amp;cb_client=search.gws-prod.gps&amp;w=408&amp;h=240&amp;yaw=263.3486&amp;pitch=0&amp;thumbfov=100", "link")</f>
        <v>link</v>
      </c>
    </row>
    <row r="2904" spans="1:4" x14ac:dyDescent="0.45">
      <c r="A2904" t="s">
        <v>2906</v>
      </c>
      <c r="B2904">
        <v>34.045327800000003</v>
      </c>
      <c r="C2904">
        <v>-118.23904829999999</v>
      </c>
      <c r="D2904" t="s">
        <v>5</v>
      </c>
    </row>
    <row r="2905" spans="1:4" x14ac:dyDescent="0.45">
      <c r="A2905" t="s">
        <v>2907</v>
      </c>
      <c r="B2905">
        <v>34.050525999999998</v>
      </c>
      <c r="C2905">
        <v>-118.242682</v>
      </c>
      <c r="D2905" t="str">
        <f>HYPERLINK("https://streetviewpixels-pa.googleapis.com/v1/thumbnail?panoid=_cd1mR5myWESZFNSQan52Q&amp;cb_client=search.gws-prod.gps&amp;w=408&amp;h=240&amp;yaw=64.60143&amp;pitch=0&amp;thumbfov=100", "link")</f>
        <v>link</v>
      </c>
    </row>
    <row r="2906" spans="1:4" x14ac:dyDescent="0.45">
      <c r="A2906" t="s">
        <v>2908</v>
      </c>
      <c r="B2906">
        <v>34.045259599999902</v>
      </c>
      <c r="C2906">
        <v>-118.2398342</v>
      </c>
      <c r="D2906" t="str">
        <f>HYPERLINK("https://streetviewpixels-pa.googleapis.com/v1/thumbnail?panoid=nwhI4TgBFlGzETw4Nphyfg&amp;cb_client=search.gws-prod.gps&amp;w=408&amp;h=240&amp;yaw=318.4224&amp;pitch=0&amp;thumbfov=100", "link")</f>
        <v>link</v>
      </c>
    </row>
    <row r="2907" spans="1:4" x14ac:dyDescent="0.45">
      <c r="A2907" t="s">
        <v>2909</v>
      </c>
      <c r="B2907">
        <v>34.049392500000003</v>
      </c>
      <c r="C2907">
        <v>-118.24297730000001</v>
      </c>
      <c r="D2907" t="str">
        <f>HYPERLINK("https://streetviewpixels-pa.googleapis.com/v1/thumbnail?panoid=ovr67MPvIqwDOMf8k9zjew&amp;cb_client=search.gws-prod.gps&amp;w=408&amp;h=240&amp;yaw=307.38342&amp;pitch=0&amp;thumbfov=100", "link")</f>
        <v>link</v>
      </c>
    </row>
    <row r="2908" spans="1:4" x14ac:dyDescent="0.45">
      <c r="A2908" t="s">
        <v>2910</v>
      </c>
      <c r="B2908">
        <v>34.046730199999999</v>
      </c>
      <c r="C2908">
        <v>-118.2421535</v>
      </c>
      <c r="D2908" t="str">
        <f>HYPERLINK("https://streetviewpixels-pa.googleapis.com/v1/thumbnail?panoid=KD9HaQ4Rn0wpXq3VY_2LWg&amp;cb_client=search.gws-prod.gps&amp;w=408&amp;h=240&amp;yaw=195.99594&amp;pitch=0&amp;thumbfov=100", "link")</f>
        <v>link</v>
      </c>
    </row>
    <row r="2909" spans="1:4" x14ac:dyDescent="0.45">
      <c r="A2909" t="s">
        <v>2911</v>
      </c>
      <c r="B2909">
        <v>34.046692999999998</v>
      </c>
      <c r="C2909">
        <v>-118.2421295</v>
      </c>
      <c r="D2909" t="str">
        <f>HYPERLINK("https://streetviewpixels-pa.googleapis.com/v1/thumbnail?panoid=KD9HaQ4Rn0wpXq3VY_2LWg&amp;cb_client=search.gws-prod.gps&amp;w=408&amp;h=240&amp;yaw=195.99594&amp;pitch=0&amp;thumbfov=100", "link")</f>
        <v>link</v>
      </c>
    </row>
    <row r="2910" spans="1:4" x14ac:dyDescent="0.45">
      <c r="A2910" t="s">
        <v>2912</v>
      </c>
      <c r="B2910">
        <v>34.044382599999999</v>
      </c>
      <c r="C2910">
        <v>-118.2382817</v>
      </c>
      <c r="D2910" t="str">
        <f>HYPERLINK("https://lh5.googleusercontent.com/p/AF1QipOPakudrbnMG6VH2h1x2A9m28PNyEqEcPAZl41A=w408-h306-k-no", "link")</f>
        <v>link</v>
      </c>
    </row>
    <row r="2911" spans="1:4" x14ac:dyDescent="0.45">
      <c r="A2911" t="s">
        <v>2913</v>
      </c>
      <c r="B2911">
        <v>34.049104200000002</v>
      </c>
      <c r="C2911">
        <v>-118.2434688</v>
      </c>
      <c r="D2911" t="str">
        <f>HYPERLINK("https://streetviewpixels-pa.googleapis.com/v1/thumbnail?panoid=vvD37B6s2n1_USuhGb-dQA&amp;cb_client=search.gws-prod.gps&amp;w=408&amp;h=240&amp;yaw=147.735&amp;pitch=0&amp;thumbfov=100", "link")</f>
        <v>link</v>
      </c>
    </row>
    <row r="2912" spans="1:4" x14ac:dyDescent="0.45">
      <c r="A2912" t="s">
        <v>2914</v>
      </c>
      <c r="B2912">
        <v>34.049073800000002</v>
      </c>
      <c r="C2912">
        <v>-118.23610979999999</v>
      </c>
      <c r="D2912" t="s">
        <v>5</v>
      </c>
    </row>
    <row r="2913" spans="1:4" x14ac:dyDescent="0.45">
      <c r="A2913" t="s">
        <v>2915</v>
      </c>
      <c r="B2913">
        <v>34.049601699999897</v>
      </c>
      <c r="C2913">
        <v>-118.2389082</v>
      </c>
      <c r="D2913" t="str">
        <f>HYPERLINK("https://streetviewpixels-pa.googleapis.com/v1/thumbnail?panoid=TH584N5ejSVFYKH5qr8Odw&amp;cb_client=search.gws-prod.gps&amp;w=408&amp;h=240&amp;yaw=333.55157&amp;pitch=0&amp;thumbfov=100", "link")</f>
        <v>link</v>
      </c>
    </row>
    <row r="2914" spans="1:4" x14ac:dyDescent="0.45">
      <c r="A2914" t="s">
        <v>2916</v>
      </c>
      <c r="B2914">
        <v>34.047714900000003</v>
      </c>
      <c r="C2914">
        <v>-118.236391</v>
      </c>
      <c r="D2914" t="s">
        <v>5</v>
      </c>
    </row>
    <row r="2915" spans="1:4" x14ac:dyDescent="0.45">
      <c r="A2915" t="s">
        <v>2917</v>
      </c>
      <c r="B2915">
        <v>34.051121999999999</v>
      </c>
      <c r="C2915">
        <v>-118.23908</v>
      </c>
      <c r="D2915" t="s">
        <v>5</v>
      </c>
    </row>
    <row r="2916" spans="1:4" x14ac:dyDescent="0.45">
      <c r="A2916" t="s">
        <v>2918</v>
      </c>
      <c r="B2916">
        <v>34.048678000000002</v>
      </c>
      <c r="C2916">
        <v>-118.2394012</v>
      </c>
      <c r="D2916" t="s">
        <v>5</v>
      </c>
    </row>
    <row r="2917" spans="1:4" x14ac:dyDescent="0.45">
      <c r="A2917" t="s">
        <v>2919</v>
      </c>
      <c r="B2917">
        <v>34.0476606</v>
      </c>
      <c r="C2917">
        <v>-118.23868280000001</v>
      </c>
      <c r="D2917" t="s">
        <v>5</v>
      </c>
    </row>
    <row r="2918" spans="1:4" x14ac:dyDescent="0.45">
      <c r="A2918" t="s">
        <v>2920</v>
      </c>
      <c r="B2918">
        <v>34.049468900000001</v>
      </c>
      <c r="C2918">
        <v>-118.2407169</v>
      </c>
      <c r="D2918" t="str">
        <f>HYPERLINK("https://streetviewpixels-pa.googleapis.com/v1/thumbnail?panoid=JV5j0xIwM6KEMIRFtvXt-Q&amp;cb_client=search.gws-prod.gps&amp;w=408&amp;h=240&amp;yaw=123.56484&amp;pitch=0&amp;thumbfov=100", "link")</f>
        <v>link</v>
      </c>
    </row>
    <row r="2919" spans="1:4" x14ac:dyDescent="0.45">
      <c r="A2919" t="s">
        <v>2921</v>
      </c>
      <c r="B2919">
        <v>34.049436399999998</v>
      </c>
      <c r="C2919">
        <v>-118.24073850000001</v>
      </c>
      <c r="D2919" t="str">
        <f>HYPERLINK("https://streetviewpixels-pa.googleapis.com/v1/thumbnail?panoid=JV5j0xIwM6KEMIRFtvXt-Q&amp;cb_client=search.gws-prod.gps&amp;w=408&amp;h=240&amp;yaw=123.56484&amp;pitch=0&amp;thumbfov=100", "link")</f>
        <v>link</v>
      </c>
    </row>
    <row r="2920" spans="1:4" x14ac:dyDescent="0.45">
      <c r="A2920" t="s">
        <v>2922</v>
      </c>
      <c r="B2920">
        <v>34.046262400000003</v>
      </c>
      <c r="C2920">
        <v>-118.235849</v>
      </c>
      <c r="D2920" t="str">
        <f>HYPERLINK("https://streetviewpixels-pa.googleapis.com/v1/thumbnail?panoid=GHnlldAzgGA46dC3y4xkww&amp;cb_client=search.gws-prod.gps&amp;w=408&amp;h=240&amp;yaw=105.19112&amp;pitch=0&amp;thumbfov=100", "link")</f>
        <v>link</v>
      </c>
    </row>
    <row r="2921" spans="1:4" x14ac:dyDescent="0.45">
      <c r="A2921" t="s">
        <v>2923</v>
      </c>
      <c r="B2921">
        <v>34.053223799999998</v>
      </c>
      <c r="C2921">
        <v>-118.26684729999999</v>
      </c>
      <c r="D2921" t="str">
        <f>HYPERLINK("https://streetviewpixels-pa.googleapis.com/v1/thumbnail?panoid=Y0MoHKbpjmm8mTqY5eUoSw&amp;cb_client=search.gws-prod.gps&amp;w=408&amp;h=240&amp;yaw=105.995964&amp;pitch=0&amp;thumbfov=100", "link")</f>
        <v>link</v>
      </c>
    </row>
    <row r="2922" spans="1:4" x14ac:dyDescent="0.45">
      <c r="A2922" t="s">
        <v>2924</v>
      </c>
      <c r="B2922">
        <v>34.050587999999998</v>
      </c>
      <c r="C2922">
        <v>-118.26685500000001</v>
      </c>
      <c r="D2922" t="str">
        <f>HYPERLINK("https://streetviewpixels-pa.googleapis.com/v1/thumbnail?panoid=oMbBjUW_d4SjK9LCJu5mZg&amp;cb_client=search.gws-prod.gps&amp;w=408&amp;h=240&amp;yaw=118.65164&amp;pitch=0&amp;thumbfov=100", "link")</f>
        <v>link</v>
      </c>
    </row>
    <row r="2923" spans="1:4" x14ac:dyDescent="0.45">
      <c r="A2923" t="s">
        <v>2925</v>
      </c>
      <c r="B2923">
        <v>34.051651900000003</v>
      </c>
      <c r="C2923">
        <v>-118.2674736</v>
      </c>
      <c r="D2923" t="str">
        <f>HYPERLINK("https://streetviewpixels-pa.googleapis.com/v1/thumbnail?panoid=iwqM1RUMPluZk0HSMGFmlw&amp;cb_client=search.gws-prod.gps&amp;w=408&amp;h=240&amp;yaw=111.47757&amp;pitch=0&amp;thumbfov=100", "link")</f>
        <v>link</v>
      </c>
    </row>
    <row r="2924" spans="1:4" x14ac:dyDescent="0.45">
      <c r="A2924" t="s">
        <v>2926</v>
      </c>
      <c r="B2924">
        <v>34.054900400000001</v>
      </c>
      <c r="C2924">
        <v>-118.26220600000001</v>
      </c>
      <c r="D2924" t="str">
        <f>HYPERLINK("https://streetviewpixels-pa.googleapis.com/v1/thumbnail?panoid=9MJsKW0_p2MdFi7DFE6R6Q&amp;cb_client=search.gws-prod.gps&amp;w=408&amp;h=240&amp;yaw=343.40146&amp;pitch=0&amp;thumbfov=100", "link")</f>
        <v>link</v>
      </c>
    </row>
    <row r="2925" spans="1:4" x14ac:dyDescent="0.45">
      <c r="A2925" t="s">
        <v>2927</v>
      </c>
      <c r="B2925">
        <v>34.055143100000002</v>
      </c>
      <c r="C2925">
        <v>-118.2627245</v>
      </c>
      <c r="D2925" t="str">
        <f>HYPERLINK("https://lh5.googleusercontent.com/p/AF1QipOGsTezeXMimUJFQfFI3X9F-fvFxn0cQiwRfyxH=w408-h725-k-no", "link")</f>
        <v>link</v>
      </c>
    </row>
    <row r="2926" spans="1:4" x14ac:dyDescent="0.45">
      <c r="A2926" t="s">
        <v>2928</v>
      </c>
      <c r="B2926">
        <v>34.053767499999999</v>
      </c>
      <c r="C2926">
        <v>-118.26042820000001</v>
      </c>
      <c r="D2926" t="s">
        <v>5</v>
      </c>
    </row>
    <row r="2927" spans="1:4" x14ac:dyDescent="0.45">
      <c r="A2927" t="s">
        <v>2929</v>
      </c>
      <c r="B2927">
        <v>34.054431299999997</v>
      </c>
      <c r="C2927">
        <v>-118.2609764</v>
      </c>
      <c r="D2927" t="s">
        <v>5</v>
      </c>
    </row>
    <row r="2928" spans="1:4" x14ac:dyDescent="0.45">
      <c r="A2928" t="s">
        <v>2930</v>
      </c>
      <c r="B2928">
        <v>34.050051699999997</v>
      </c>
      <c r="C2928">
        <v>-118.2670165</v>
      </c>
      <c r="D2928" t="str">
        <f>HYPERLINK("https://streetviewpixels-pa.googleapis.com/v1/thumbnail?panoid=I8wRfsAkyTrDOCjehgDjfw&amp;cb_client=search.gws-prod.gps&amp;w=408&amp;h=240&amp;yaw=112.10425&amp;pitch=0&amp;thumbfov=100", "link")</f>
        <v>link</v>
      </c>
    </row>
    <row r="2929" spans="1:4" x14ac:dyDescent="0.45">
      <c r="A2929" t="s">
        <v>2931</v>
      </c>
      <c r="B2929">
        <v>34.054019799999999</v>
      </c>
      <c r="C2929">
        <v>-118.2603611</v>
      </c>
      <c r="D2929" t="s">
        <v>5</v>
      </c>
    </row>
    <row r="2930" spans="1:4" x14ac:dyDescent="0.45">
      <c r="A2930" t="s">
        <v>2932</v>
      </c>
      <c r="B2930">
        <v>34.055099499999997</v>
      </c>
      <c r="C2930">
        <v>-118.2666406</v>
      </c>
      <c r="D2930" t="str">
        <f>HYPERLINK("https://streetviewpixels-pa.googleapis.com/v1/thumbnail?panoid=_BP43wl1Rb4UgM2zQX1QaA&amp;cb_client=search.gws-prod.gps&amp;w=408&amp;h=240&amp;yaw=38.76962&amp;pitch=0&amp;thumbfov=100", "link")</f>
        <v>link</v>
      </c>
    </row>
    <row r="2931" spans="1:4" x14ac:dyDescent="0.45">
      <c r="A2931" t="s">
        <v>2933</v>
      </c>
      <c r="B2931">
        <v>34.054944399999897</v>
      </c>
      <c r="C2931">
        <v>-118.26700510000001</v>
      </c>
      <c r="D2931" t="s">
        <v>5</v>
      </c>
    </row>
    <row r="2932" spans="1:4" x14ac:dyDescent="0.45">
      <c r="A2932" t="s">
        <v>2934</v>
      </c>
      <c r="B2932">
        <v>34.048270799999997</v>
      </c>
      <c r="C2932">
        <v>-118.264174</v>
      </c>
      <c r="D2932" t="str">
        <f>HYPERLINK("https://lh5.googleusercontent.com/p/AF1QipM5ps5fJjRefttLbThwMc231YWAua5sRn9u69Wn=w408-h305-k-no", "link")</f>
        <v>link</v>
      </c>
    </row>
    <row r="2933" spans="1:4" x14ac:dyDescent="0.45">
      <c r="A2933" t="s">
        <v>2935</v>
      </c>
      <c r="B2933">
        <v>34.048173900000002</v>
      </c>
      <c r="C2933">
        <v>-118.2641936</v>
      </c>
      <c r="D2933" t="str">
        <f>HYPERLINK("https://lh5.googleusercontent.com/p/AF1QipM5ps5fJjRefttLbThwMc231YWAua5sRn9u69Wn=w408-h305-k-no", "link")</f>
        <v>link</v>
      </c>
    </row>
    <row r="2934" spans="1:4" x14ac:dyDescent="0.45">
      <c r="A2934" t="s">
        <v>2936</v>
      </c>
      <c r="B2934">
        <v>34.052179799999998</v>
      </c>
      <c r="C2934">
        <v>-118.2639011</v>
      </c>
      <c r="D2934" t="str">
        <f>HYPERLINK("https://streetviewpixels-pa.googleapis.com/v1/thumbnail?panoid=N8qy6syEz4lap7zl6JKHoA&amp;cb_client=search.gws-prod.gps&amp;w=408&amp;h=240&amp;yaw=236.42542&amp;pitch=0&amp;thumbfov=100", "link")</f>
        <v>link</v>
      </c>
    </row>
    <row r="2935" spans="1:4" x14ac:dyDescent="0.45">
      <c r="A2935" t="s">
        <v>2937</v>
      </c>
      <c r="B2935">
        <v>34.051720699999997</v>
      </c>
      <c r="C2935">
        <v>-118.2643786</v>
      </c>
      <c r="D2935" t="str">
        <f>HYPERLINK("https://lh5.googleusercontent.com/p/AF1QipMg7E_lwqdWqXWOckMGMTXs0bS7sLEISy3nyVd9=w426-h240-k-no", "link")</f>
        <v>link</v>
      </c>
    </row>
    <row r="2936" spans="1:4" x14ac:dyDescent="0.45">
      <c r="A2936" t="s">
        <v>2938</v>
      </c>
      <c r="B2936">
        <v>34.052911600000002</v>
      </c>
      <c r="C2936">
        <v>-118.2634779</v>
      </c>
      <c r="D2936" t="str">
        <f>HYPERLINK("https://streetviewpixels-pa.googleapis.com/v1/thumbnail?panoid=N8qy6syEz4lap7zl6JKHoA&amp;cb_client=search.gws-prod.gps&amp;w=408&amp;h=240&amp;yaw=328.70905&amp;pitch=0&amp;thumbfov=100", "link")</f>
        <v>link</v>
      </c>
    </row>
    <row r="2937" spans="1:4" x14ac:dyDescent="0.45">
      <c r="A2937" t="s">
        <v>2939</v>
      </c>
      <c r="B2937">
        <v>34.051230500000003</v>
      </c>
      <c r="C2937">
        <v>-118.2638302</v>
      </c>
      <c r="D2937" t="str">
        <f>HYPERLINK("https://streetviewpixels-pa.googleapis.com/v1/thumbnail?panoid=Ht93jfPsnWI73t_8FBR02Q&amp;cb_client=search.gws-prod.gps&amp;w=408&amp;h=240&amp;yaw=29.091923&amp;pitch=0&amp;thumbfov=100", "link")</f>
        <v>link</v>
      </c>
    </row>
    <row r="2938" spans="1:4" x14ac:dyDescent="0.45">
      <c r="A2938" t="s">
        <v>2940</v>
      </c>
      <c r="B2938">
        <v>34.052017900000003</v>
      </c>
      <c r="C2938">
        <v>-118.265044</v>
      </c>
      <c r="D2938" t="str">
        <f>HYPERLINK("https://lh5.googleusercontent.com/p/AF1QipMAr8yiXyf-syjplJqdMzWjYLwnyG5BICzM3JB2=w426-h240-k-no", "link")</f>
        <v>link</v>
      </c>
    </row>
    <row r="2939" spans="1:4" x14ac:dyDescent="0.45">
      <c r="A2939" t="s">
        <v>2941</v>
      </c>
      <c r="B2939">
        <v>34.053193200000003</v>
      </c>
      <c r="C2939">
        <v>-118.2638542</v>
      </c>
      <c r="D2939" t="str">
        <f>HYPERLINK("https://streetviewpixels-pa.googleapis.com/v1/thumbnail?panoid=pxHkOODB9e2BfrCmj_EFWQ&amp;cb_client=search.gws-prod.gps&amp;w=408&amp;h=240&amp;yaw=16.46655&amp;pitch=0&amp;thumbfov=100", "link")</f>
        <v>link</v>
      </c>
    </row>
    <row r="2940" spans="1:4" x14ac:dyDescent="0.45">
      <c r="A2940" t="s">
        <v>2942</v>
      </c>
      <c r="B2940">
        <v>34.052643199999999</v>
      </c>
      <c r="C2940">
        <v>-118.262742</v>
      </c>
      <c r="D2940" t="str">
        <f>HYPERLINK("https://streetviewpixels-pa.googleapis.com/v1/thumbnail?panoid=XlZHazgUiROfFs2y-M3DYg&amp;cb_client=search.gws-prod.gps&amp;w=408&amp;h=240&amp;yaw=120.25715&amp;pitch=0&amp;thumbfov=100", "link")</f>
        <v>link</v>
      </c>
    </row>
    <row r="2941" spans="1:4" x14ac:dyDescent="0.45">
      <c r="A2941" t="s">
        <v>2943</v>
      </c>
      <c r="B2941">
        <v>34.052691000000003</v>
      </c>
      <c r="C2941">
        <v>-118.2651781</v>
      </c>
      <c r="D2941" t="str">
        <f>HYPERLINK("https://streetviewpixels-pa.googleapis.com/v1/thumbnail?panoid=QPKWAsjoZpbEgyIzU5jBLA&amp;cb_client=search.gws-prod.gps&amp;w=408&amp;h=240&amp;yaw=43.324207&amp;pitch=0&amp;thumbfov=100", "link")</f>
        <v>link</v>
      </c>
    </row>
    <row r="2942" spans="1:4" x14ac:dyDescent="0.45">
      <c r="A2942" t="s">
        <v>2944</v>
      </c>
      <c r="B2942">
        <v>34.053502299999998</v>
      </c>
      <c r="C2942">
        <v>-118.2642196</v>
      </c>
      <c r="D2942" t="str">
        <f>HYPERLINK("https://streetviewpixels-pa.googleapis.com/v1/thumbnail?panoid=Cbh3pOWh2i48cubotH-Myw&amp;cb_client=search.gws-prod.gps&amp;w=408&amp;h=240&amp;yaw=131.74336&amp;pitch=0&amp;thumbfov=100", "link")</f>
        <v>link</v>
      </c>
    </row>
    <row r="2943" spans="1:4" x14ac:dyDescent="0.45">
      <c r="A2943" t="s">
        <v>2945</v>
      </c>
      <c r="B2943">
        <v>34.052657400000001</v>
      </c>
      <c r="C2943">
        <v>-118.26568140000001</v>
      </c>
      <c r="D2943" t="s">
        <v>5</v>
      </c>
    </row>
    <row r="2944" spans="1:4" x14ac:dyDescent="0.45">
      <c r="A2944" t="s">
        <v>2946</v>
      </c>
      <c r="B2944">
        <v>34.053831899999999</v>
      </c>
      <c r="C2944">
        <v>-118.2627116</v>
      </c>
      <c r="D2944" t="str">
        <f>HYPERLINK("https://streetviewpixels-pa.googleapis.com/v1/thumbnail?panoid=Ts-p21TKNaVL28TcP9eyWQ&amp;cb_client=search.gws-prod.gps&amp;w=408&amp;h=240&amp;yaw=267.6351&amp;pitch=0&amp;thumbfov=100", "link")</f>
        <v>link</v>
      </c>
    </row>
    <row r="2945" spans="1:4" x14ac:dyDescent="0.45">
      <c r="A2945" t="s">
        <v>2947</v>
      </c>
      <c r="B2945">
        <v>34.050228500000003</v>
      </c>
      <c r="C2945">
        <v>-118.26438469999999</v>
      </c>
      <c r="D2945" t="str">
        <f>HYPERLINK("https://streetviewpixels-pa.googleapis.com/v1/thumbnail?panoid=KSC9-aG6SLUkISoieYwftw&amp;cb_client=search.gws-prod.gps&amp;w=408&amp;h=240&amp;yaw=130.30779&amp;pitch=0&amp;thumbfov=100", "link")</f>
        <v>link</v>
      </c>
    </row>
    <row r="2946" spans="1:4" x14ac:dyDescent="0.45">
      <c r="A2946" t="s">
        <v>2948</v>
      </c>
      <c r="B2946">
        <v>34.050166099999998</v>
      </c>
      <c r="C2946">
        <v>-118.26418889999999</v>
      </c>
      <c r="D2946" t="str">
        <f>HYPERLINK("https://streetviewpixels-pa.googleapis.com/v1/thumbnail?panoid=KSC9-aG6SLUkISoieYwftw&amp;cb_client=search.gws-prod.gps&amp;w=408&amp;h=240&amp;yaw=130.30779&amp;pitch=0&amp;thumbfov=100", "link")</f>
        <v>link</v>
      </c>
    </row>
    <row r="2947" spans="1:4" x14ac:dyDescent="0.45">
      <c r="A2947" t="s">
        <v>2949</v>
      </c>
      <c r="B2947">
        <v>34.052418000000003</v>
      </c>
      <c r="C2947">
        <v>-118.2663393</v>
      </c>
      <c r="D2947" t="str">
        <f>HYPERLINK("https://streetviewpixels-pa.googleapis.com/v1/thumbnail?panoid=SnLrLKHQWlC78-gqdbYVUw&amp;cb_client=search.gws-prod.gps&amp;w=408&amp;h=240&amp;yaw=229.7818&amp;pitch=0&amp;thumbfov=100", "link")</f>
        <v>link</v>
      </c>
    </row>
    <row r="2948" spans="1:4" x14ac:dyDescent="0.45">
      <c r="A2948" t="s">
        <v>2950</v>
      </c>
      <c r="B2948">
        <v>34.054260999999997</v>
      </c>
      <c r="C2948">
        <v>-118.263361</v>
      </c>
      <c r="D2948" t="str">
        <f>HYPERLINK("https://streetviewpixels-pa.googleapis.com/v1/thumbnail?panoid=aOY-unzFlxNGu_Vo9mwd9Q&amp;cb_client=search.gws-prod.gps&amp;w=408&amp;h=240&amp;yaw=184.02635&amp;pitch=0&amp;thumbfov=100", "link")</f>
        <v>link</v>
      </c>
    </row>
    <row r="2949" spans="1:4" x14ac:dyDescent="0.45">
      <c r="A2949" t="s">
        <v>2951</v>
      </c>
      <c r="B2949">
        <v>34.053305600000002</v>
      </c>
      <c r="C2949">
        <v>-118.2661004</v>
      </c>
      <c r="D2949" t="str">
        <f>HYPERLINK("https://lh5.googleusercontent.com/p/AF1QipO9kCQA7Bpr6sSEAFwWxHsISUusJg9dCYMe_U4=w408-h285-k-no", "link")</f>
        <v>link</v>
      </c>
    </row>
    <row r="2950" spans="1:4" x14ac:dyDescent="0.45">
      <c r="A2950" t="s">
        <v>2952</v>
      </c>
      <c r="B2950">
        <v>34.053831799999998</v>
      </c>
      <c r="C2950">
        <v>-118.2620067</v>
      </c>
      <c r="D2950" t="str">
        <f>HYPERLINK("https://streetviewpixels-pa.googleapis.com/v1/thumbnail?panoid=tGMuBlCxtEMk49AfHJSceg&amp;cb_client=search.gws-prod.gps&amp;w=408&amp;h=240&amp;yaw=74.3066&amp;pitch=0&amp;thumbfov=100", "link")</f>
        <v>link</v>
      </c>
    </row>
    <row r="2951" spans="1:4" x14ac:dyDescent="0.45">
      <c r="A2951" t="s">
        <v>2953</v>
      </c>
      <c r="B2951">
        <v>34.052527199999901</v>
      </c>
      <c r="C2951">
        <v>-118.2668405</v>
      </c>
      <c r="D2951" t="str">
        <f>HYPERLINK("https://streetviewpixels-pa.googleapis.com/v1/thumbnail?panoid=Gakb3xRCZtaAUhYeatcO0g&amp;cb_client=search.gws-prod.gps&amp;w=408&amp;h=240&amp;yaw=229.7026&amp;pitch=0&amp;thumbfov=100", "link")</f>
        <v>link</v>
      </c>
    </row>
    <row r="2952" spans="1:4" x14ac:dyDescent="0.45">
      <c r="A2952" t="s">
        <v>2954</v>
      </c>
      <c r="B2952">
        <v>34.052298299999997</v>
      </c>
      <c r="C2952">
        <v>-118.26699189999999</v>
      </c>
      <c r="D2952" t="str">
        <f>HYPERLINK("https://lh5.googleusercontent.com/p/AF1QipOP0Lf98MjJYTjZti2LiQPwiQC914LylZk9Gi0m=w408-h306-k-no", "link")</f>
        <v>link</v>
      </c>
    </row>
    <row r="2953" spans="1:4" x14ac:dyDescent="0.45">
      <c r="A2953" t="s">
        <v>2955</v>
      </c>
      <c r="B2953">
        <v>34.053553700000002</v>
      </c>
      <c r="C2953">
        <v>-118.2477329</v>
      </c>
      <c r="D2953" t="s">
        <v>5</v>
      </c>
    </row>
    <row r="2954" spans="1:4" x14ac:dyDescent="0.45">
      <c r="A2954" t="s">
        <v>2956</v>
      </c>
      <c r="B2954">
        <v>34.005957199999997</v>
      </c>
      <c r="C2954">
        <v>-118.8116905</v>
      </c>
      <c r="D2954" t="str">
        <f>HYPERLINK("https://lh5.googleusercontent.com/p/AF1QipPbj0nYAyGwG5FC3AGTXHui9MDtfOFK9-s7DkYP=w408-h293-k-no", "link")</f>
        <v>link</v>
      </c>
    </row>
    <row r="2955" spans="1:4" x14ac:dyDescent="0.45">
      <c r="A2955" t="s">
        <v>2957</v>
      </c>
      <c r="B2955">
        <v>34.004806199999997</v>
      </c>
      <c r="C2955">
        <v>-118.8106545</v>
      </c>
      <c r="D2955" t="s">
        <v>5</v>
      </c>
    </row>
    <row r="2956" spans="1:4" x14ac:dyDescent="0.45">
      <c r="A2956" t="s">
        <v>2958</v>
      </c>
      <c r="B2956">
        <v>34.011537300000001</v>
      </c>
      <c r="C2956">
        <v>-118.8171193</v>
      </c>
      <c r="D2956" t="s">
        <v>5</v>
      </c>
    </row>
    <row r="2957" spans="1:4" x14ac:dyDescent="0.45">
      <c r="A2957" t="s">
        <v>2959</v>
      </c>
      <c r="B2957">
        <v>34.013909300000002</v>
      </c>
      <c r="C2957">
        <v>-118.81939559999999</v>
      </c>
      <c r="D2957" t="s">
        <v>5</v>
      </c>
    </row>
    <row r="2958" spans="1:4" x14ac:dyDescent="0.45">
      <c r="A2958" t="s">
        <v>2960</v>
      </c>
      <c r="B2958">
        <v>34.012127599999999</v>
      </c>
      <c r="C2958">
        <v>-118.80150310000001</v>
      </c>
      <c r="D2958" t="s">
        <v>5</v>
      </c>
    </row>
    <row r="2959" spans="1:4" x14ac:dyDescent="0.45">
      <c r="A2959" t="s">
        <v>2961</v>
      </c>
      <c r="B2959">
        <v>34.017195299999997</v>
      </c>
      <c r="C2959">
        <v>-118.82481300000001</v>
      </c>
      <c r="D2959" t="s">
        <v>5</v>
      </c>
    </row>
    <row r="2960" spans="1:4" x14ac:dyDescent="0.45">
      <c r="A2960" t="s">
        <v>2962</v>
      </c>
      <c r="B2960">
        <v>34.020552700000003</v>
      </c>
      <c r="C2960">
        <v>-118.828909</v>
      </c>
      <c r="D2960" t="str">
        <f>HYPERLINK("https://lh5.googleusercontent.com/p/AF1QipPZxJ_UffbqOgyCKTuUr2i4EidYheE-vigKmY7w=w426-h240-k-no", "link")</f>
        <v>link</v>
      </c>
    </row>
    <row r="2961" spans="1:4" x14ac:dyDescent="0.45">
      <c r="A2961" t="s">
        <v>2963</v>
      </c>
      <c r="B2961">
        <v>34.020593499999997</v>
      </c>
      <c r="C2961">
        <v>-118.7873881</v>
      </c>
      <c r="D2961" t="s">
        <v>5</v>
      </c>
    </row>
    <row r="2962" spans="1:4" x14ac:dyDescent="0.45">
      <c r="A2962" t="s">
        <v>2964</v>
      </c>
      <c r="B2962">
        <v>34.031487300000002</v>
      </c>
      <c r="C2962">
        <v>-118.81211140000001</v>
      </c>
      <c r="D2962" t="s">
        <v>5</v>
      </c>
    </row>
    <row r="2963" spans="1:4" x14ac:dyDescent="0.45">
      <c r="A2963" t="s">
        <v>2965</v>
      </c>
      <c r="B2963">
        <v>34.020890100000003</v>
      </c>
      <c r="C2963">
        <v>-118.7860675</v>
      </c>
      <c r="D2963" t="s">
        <v>5</v>
      </c>
    </row>
    <row r="2964" spans="1:4" x14ac:dyDescent="0.45">
      <c r="A2964" t="s">
        <v>2966</v>
      </c>
      <c r="B2964">
        <v>34.033750599999998</v>
      </c>
      <c r="C2964">
        <v>-118.81793879999999</v>
      </c>
      <c r="D2964" t="s">
        <v>5</v>
      </c>
    </row>
    <row r="2965" spans="1:4" x14ac:dyDescent="0.45">
      <c r="A2965" t="s">
        <v>2967</v>
      </c>
      <c r="B2965">
        <v>34.026064400000003</v>
      </c>
      <c r="C2965">
        <v>-118.7800113</v>
      </c>
      <c r="D2965" t="s">
        <v>5</v>
      </c>
    </row>
    <row r="2966" spans="1:4" x14ac:dyDescent="0.45">
      <c r="A2966" t="s">
        <v>2968</v>
      </c>
      <c r="B2966">
        <v>34.035410200000001</v>
      </c>
      <c r="C2966">
        <v>-118.85298969999999</v>
      </c>
      <c r="D2966" t="s">
        <v>5</v>
      </c>
    </row>
    <row r="2967" spans="1:4" x14ac:dyDescent="0.45">
      <c r="A2967" t="s">
        <v>2969</v>
      </c>
      <c r="B2967">
        <v>34.0390254</v>
      </c>
      <c r="C2967">
        <v>-118.8748812</v>
      </c>
      <c r="D2967" t="s">
        <v>5</v>
      </c>
    </row>
    <row r="2968" spans="1:4" x14ac:dyDescent="0.45">
      <c r="A2968" t="s">
        <v>2970</v>
      </c>
      <c r="B2968">
        <v>34.038965500000003</v>
      </c>
      <c r="C2968">
        <v>-118.8749313</v>
      </c>
      <c r="D2968" t="s">
        <v>5</v>
      </c>
    </row>
    <row r="2969" spans="1:4" x14ac:dyDescent="0.45">
      <c r="A2969" t="s">
        <v>2971</v>
      </c>
      <c r="B2969">
        <v>34.0394559</v>
      </c>
      <c r="C2969">
        <v>-118.6592251</v>
      </c>
      <c r="D2969" t="str">
        <f>HYPERLINK("https://streetviewpixels-pa.googleapis.com/v1/thumbnail?panoid=Px4aT1Mix7o9VcgmHDex7A&amp;cb_client=search.gws-prod.gps&amp;w=408&amp;h=240&amp;yaw=18.927593&amp;pitch=0&amp;thumbfov=100", "link")</f>
        <v>link</v>
      </c>
    </row>
    <row r="2970" spans="1:4" x14ac:dyDescent="0.45">
      <c r="A2970" t="s">
        <v>2972</v>
      </c>
      <c r="B2970">
        <v>34.039518999999999</v>
      </c>
      <c r="C2970">
        <v>-118.65913399999999</v>
      </c>
      <c r="D2970" t="s">
        <v>5</v>
      </c>
    </row>
    <row r="2971" spans="1:4" x14ac:dyDescent="0.45">
      <c r="A2971" t="s">
        <v>2973</v>
      </c>
      <c r="B2971">
        <v>34.033327399999997</v>
      </c>
      <c r="C2971">
        <v>-118.73187179999999</v>
      </c>
      <c r="D2971" t="s">
        <v>5</v>
      </c>
    </row>
    <row r="2972" spans="1:4" x14ac:dyDescent="0.45">
      <c r="A2972" t="s">
        <v>2974</v>
      </c>
      <c r="B2972">
        <v>34.034007199999998</v>
      </c>
      <c r="C2972">
        <v>-118.68483139999999</v>
      </c>
      <c r="D2972" t="s">
        <v>5</v>
      </c>
    </row>
    <row r="2973" spans="1:4" x14ac:dyDescent="0.45">
      <c r="A2973" t="s">
        <v>2975</v>
      </c>
      <c r="B2973">
        <v>34.0340074</v>
      </c>
      <c r="C2973">
        <v>-118.68472010000001</v>
      </c>
      <c r="D2973" t="s">
        <v>5</v>
      </c>
    </row>
    <row r="2974" spans="1:4" x14ac:dyDescent="0.45">
      <c r="A2974" t="s">
        <v>2976</v>
      </c>
      <c r="B2974">
        <v>34.035175699999897</v>
      </c>
      <c r="C2974">
        <v>-118.6848976</v>
      </c>
      <c r="D2974" t="str">
        <f>HYPERLINK("https://streetviewpixels-pa.googleapis.com/v1/thumbnail?panoid=7rxnGt9xmwR8YlEKf4eZgA&amp;cb_client=search.gws-prod.gps&amp;w=408&amp;h=240&amp;yaw=160.16226&amp;pitch=0&amp;thumbfov=100", "link")</f>
        <v>link</v>
      </c>
    </row>
    <row r="2975" spans="1:4" x14ac:dyDescent="0.45">
      <c r="A2975" t="s">
        <v>2977</v>
      </c>
      <c r="B2975">
        <v>34.035377500000003</v>
      </c>
      <c r="C2975">
        <v>-118.6843556</v>
      </c>
      <c r="D2975" t="str">
        <f>HYPERLINK("https://lh5.googleusercontent.com/p/AF1QipMfUIYmDyflh76rEj9dcxvrueuSVejpwS2HY-Ht=w408-h305-k-no", "link")</f>
        <v>link</v>
      </c>
    </row>
    <row r="2976" spans="1:4" x14ac:dyDescent="0.45">
      <c r="A2976" t="s">
        <v>2978</v>
      </c>
      <c r="B2976">
        <v>34.033531699999997</v>
      </c>
      <c r="C2976">
        <v>-118.69036989999999</v>
      </c>
      <c r="D2976" t="s">
        <v>5</v>
      </c>
    </row>
    <row r="2977" spans="1:4" x14ac:dyDescent="0.45">
      <c r="A2977" t="s">
        <v>2979</v>
      </c>
      <c r="B2977">
        <v>34.035188900000001</v>
      </c>
      <c r="C2977">
        <v>-118.67943459999999</v>
      </c>
      <c r="D2977" t="s">
        <v>5</v>
      </c>
    </row>
    <row r="2978" spans="1:4" x14ac:dyDescent="0.45">
      <c r="A2978" t="s">
        <v>2980</v>
      </c>
      <c r="B2978">
        <v>34.037672200000003</v>
      </c>
      <c r="C2978">
        <v>-118.6764057</v>
      </c>
      <c r="D2978" t="str">
        <f>HYPERLINK("https://lh5.googleusercontent.com/p/AF1QipM5qkLKxlwf9fSwKEGDcCppqXaCgV8UIVPvZPcL=w489-h240-k-no", "link")</f>
        <v>link</v>
      </c>
    </row>
    <row r="2979" spans="1:4" x14ac:dyDescent="0.45">
      <c r="A2979" t="s">
        <v>2981</v>
      </c>
      <c r="B2979">
        <v>34.037682400000001</v>
      </c>
      <c r="C2979">
        <v>-118.67574380000001</v>
      </c>
      <c r="D2979" t="s">
        <v>5</v>
      </c>
    </row>
    <row r="2980" spans="1:4" x14ac:dyDescent="0.45">
      <c r="A2980" t="s">
        <v>2982</v>
      </c>
      <c r="B2980">
        <v>34.037709499999998</v>
      </c>
      <c r="C2980">
        <v>-118.6756771</v>
      </c>
      <c r="D2980" t="s">
        <v>5</v>
      </c>
    </row>
    <row r="2981" spans="1:4" x14ac:dyDescent="0.45">
      <c r="A2981" t="s">
        <v>2983</v>
      </c>
      <c r="B2981">
        <v>34.039547599999999</v>
      </c>
      <c r="C2981">
        <v>-118.6714022</v>
      </c>
      <c r="D2981" t="str">
        <f>HYPERLINK("https://streetviewpixels-pa.googleapis.com/v1/thumbnail?panoid=M_Fgl10h6l0Z7B4oR22iPQ&amp;cb_client=search.gws-prod.gps&amp;w=408&amp;h=240&amp;yaw=33.22518&amp;pitch=0&amp;thumbfov=100", "link")</f>
        <v>link</v>
      </c>
    </row>
    <row r="2982" spans="1:4" x14ac:dyDescent="0.45">
      <c r="A2982" t="s">
        <v>2984</v>
      </c>
      <c r="B2982">
        <v>34.040022299999997</v>
      </c>
      <c r="C2982">
        <v>-118.66667579999999</v>
      </c>
      <c r="D2982" t="str">
        <f>HYPERLINK("https://streetviewpixels-pa.googleapis.com/v1/thumbnail?panoid=-tX3cYi7Y0tktgJiz8CqeQ&amp;cb_client=search.gws-prod.gps&amp;w=408&amp;h=240&amp;yaw=145.75655&amp;pitch=0&amp;thumbfov=100", "link")</f>
        <v>link</v>
      </c>
    </row>
    <row r="2983" spans="1:4" x14ac:dyDescent="0.45">
      <c r="A2983" t="s">
        <v>2985</v>
      </c>
      <c r="B2983">
        <v>34.061214</v>
      </c>
      <c r="C2983">
        <v>-118.87696</v>
      </c>
      <c r="D2983" t="str">
        <f>HYPERLINK("https://lh5.googleusercontent.com/p/AF1QipNMBYRD-3wfPOgaWSIfNbrepm4TsU5Pyc9M2HeP=w426-h240-k-no", "link")</f>
        <v>link</v>
      </c>
    </row>
    <row r="2984" spans="1:4" x14ac:dyDescent="0.45">
      <c r="A2984" t="s">
        <v>2986</v>
      </c>
      <c r="B2984">
        <v>34.039703299999999</v>
      </c>
      <c r="C2984">
        <v>-118.88738739999999</v>
      </c>
      <c r="D2984" t="s">
        <v>5</v>
      </c>
    </row>
    <row r="2985" spans="1:4" x14ac:dyDescent="0.45">
      <c r="A2985" t="s">
        <v>2987</v>
      </c>
      <c r="B2985">
        <v>34.039691300000001</v>
      </c>
      <c r="C2985">
        <v>-118.8873957</v>
      </c>
      <c r="D2985" t="s">
        <v>5</v>
      </c>
    </row>
    <row r="2986" spans="1:4" x14ac:dyDescent="0.45">
      <c r="A2986" t="s">
        <v>2988</v>
      </c>
      <c r="B2986">
        <v>34.040432000000003</v>
      </c>
      <c r="C2986">
        <v>-118.8922022</v>
      </c>
      <c r="D2986" t="s">
        <v>5</v>
      </c>
    </row>
    <row r="2987" spans="1:4" x14ac:dyDescent="0.45">
      <c r="A2987" t="s">
        <v>2989</v>
      </c>
      <c r="B2987">
        <v>34.040450300000003</v>
      </c>
      <c r="C2987">
        <v>-118.8922192</v>
      </c>
      <c r="D2987" t="s">
        <v>5</v>
      </c>
    </row>
    <row r="2988" spans="1:4" x14ac:dyDescent="0.45">
      <c r="A2988" t="s">
        <v>2990</v>
      </c>
      <c r="B2988">
        <v>34.075932299999998</v>
      </c>
      <c r="C2988">
        <v>-118.81534379999999</v>
      </c>
      <c r="D2988" t="str">
        <f>HYPERLINK("https://lh5.googleusercontent.com/p/AF1QipOmAwHQYAaBXM0doGGmvDIC6TRNyXJ7ByzbPeoL=w408-h240-k-no-pi-10-ya320-ro0-fo100", "link")</f>
        <v>link</v>
      </c>
    </row>
    <row r="2989" spans="1:4" x14ac:dyDescent="0.45">
      <c r="A2989" t="s">
        <v>2991</v>
      </c>
      <c r="B2989">
        <v>34.043188600000001</v>
      </c>
      <c r="C2989">
        <v>-118.9151517</v>
      </c>
      <c r="D2989" t="s">
        <v>5</v>
      </c>
    </row>
    <row r="2990" spans="1:4" x14ac:dyDescent="0.45">
      <c r="A2990" t="s">
        <v>2992</v>
      </c>
      <c r="B2990">
        <v>34.043120600000002</v>
      </c>
      <c r="C2990">
        <v>-118.91519390000001</v>
      </c>
      <c r="D2990" t="s">
        <v>5</v>
      </c>
    </row>
    <row r="2991" spans="1:4" x14ac:dyDescent="0.45">
      <c r="A2991" t="s">
        <v>2993</v>
      </c>
      <c r="B2991">
        <v>34.046061000000002</v>
      </c>
      <c r="C2991">
        <v>-118.9336519</v>
      </c>
      <c r="D2991" t="s">
        <v>5</v>
      </c>
    </row>
    <row r="2992" spans="1:4" x14ac:dyDescent="0.45">
      <c r="A2992" t="s">
        <v>2994</v>
      </c>
      <c r="B2992">
        <v>34.045976000000003</v>
      </c>
      <c r="C2992">
        <v>-118.93366810000001</v>
      </c>
      <c r="D2992" t="s">
        <v>5</v>
      </c>
    </row>
    <row r="2993" spans="1:4" x14ac:dyDescent="0.45">
      <c r="A2993" t="s">
        <v>2995</v>
      </c>
      <c r="B2993">
        <v>34.054286599999998</v>
      </c>
      <c r="C2993">
        <v>-118.934729</v>
      </c>
      <c r="D2993" t="s">
        <v>5</v>
      </c>
    </row>
    <row r="2994" spans="1:4" x14ac:dyDescent="0.45">
      <c r="A2994" t="s">
        <v>2996</v>
      </c>
      <c r="B2994">
        <v>34.045176400000003</v>
      </c>
      <c r="C2994">
        <v>-118.941619</v>
      </c>
      <c r="D2994" t="str">
        <f>HYPERLINK("https://lh5.googleusercontent.com/p/AF1QipMnlyS7uTeWeGOLym0zJrtvFpGino2sMJyMExzk=w408-h544-k-no", "link")</f>
        <v>link</v>
      </c>
    </row>
    <row r="2995" spans="1:4" x14ac:dyDescent="0.45">
      <c r="A2995" t="s">
        <v>2997</v>
      </c>
      <c r="B2995">
        <v>34.0374038</v>
      </c>
      <c r="C2995">
        <v>-118.6375779</v>
      </c>
      <c r="D2995" t="str">
        <f>HYPERLINK("https://lh5.googleusercontent.com/p/AF1QipMwHLI5aGo2Jk7i91mY0c3wL84L_3IV6_HIPkUt=w408-h272-k-no", "link")</f>
        <v>link</v>
      </c>
    </row>
    <row r="2996" spans="1:4" x14ac:dyDescent="0.45">
      <c r="A2996" t="s">
        <v>2998</v>
      </c>
      <c r="B2996">
        <v>34.036616000000002</v>
      </c>
      <c r="C2996">
        <v>-118.6355192</v>
      </c>
      <c r="D2996" t="str">
        <f>HYPERLINK("https://lh5.googleusercontent.com/p/AF1QipPR3Phsxrrtjgph3RzBBQ3A4GtVnpXWcnRMYZQ0=w426-h240-k-no", "link")</f>
        <v>link</v>
      </c>
    </row>
    <row r="2997" spans="1:4" x14ac:dyDescent="0.45">
      <c r="A2997" t="s">
        <v>2999</v>
      </c>
      <c r="B2997">
        <v>34.039233099999997</v>
      </c>
      <c r="C2997">
        <v>-118.58207779999999</v>
      </c>
      <c r="D2997" t="s">
        <v>5</v>
      </c>
    </row>
    <row r="2998" spans="1:4" x14ac:dyDescent="0.45">
      <c r="A2998" t="s">
        <v>3000</v>
      </c>
      <c r="B2998">
        <v>34.039841099999997</v>
      </c>
      <c r="C2998">
        <v>-118.57587700000001</v>
      </c>
      <c r="D2998" t="s">
        <v>5</v>
      </c>
    </row>
    <row r="2999" spans="1:4" x14ac:dyDescent="0.45">
      <c r="A2999" t="s">
        <v>3001</v>
      </c>
      <c r="B2999">
        <v>34.041572599999903</v>
      </c>
      <c r="C2999">
        <v>-118.5671917</v>
      </c>
      <c r="D2999" t="str">
        <f>HYPERLINK("https://streetviewpixels-pa.googleapis.com/v1/thumbnail?panoid=3qx9ZVbzdu1TZ5FKxyxYxQ&amp;cb_client=search.gws-prod.gps&amp;w=408&amp;h=240&amp;yaw=190.95067&amp;pitch=0&amp;thumbfov=100", "link")</f>
        <v>link</v>
      </c>
    </row>
    <row r="3000" spans="1:4" x14ac:dyDescent="0.45">
      <c r="A3000" t="s">
        <v>3002</v>
      </c>
      <c r="B3000">
        <v>34.0376294</v>
      </c>
      <c r="C3000">
        <v>-118.6302621</v>
      </c>
      <c r="D3000" t="s">
        <v>5</v>
      </c>
    </row>
    <row r="3001" spans="1:4" x14ac:dyDescent="0.45">
      <c r="A3001" t="s">
        <v>3003</v>
      </c>
      <c r="B3001">
        <v>34.038155099999997</v>
      </c>
      <c r="C3001">
        <v>-118.6218753</v>
      </c>
      <c r="D3001" t="s">
        <v>5</v>
      </c>
    </row>
    <row r="3002" spans="1:4" x14ac:dyDescent="0.45">
      <c r="A3002" t="s">
        <v>3004</v>
      </c>
      <c r="B3002">
        <v>34.037649100000003</v>
      </c>
      <c r="C3002">
        <v>-118.61914040000001</v>
      </c>
      <c r="D3002" t="s">
        <v>5</v>
      </c>
    </row>
    <row r="3003" spans="1:4" x14ac:dyDescent="0.45">
      <c r="A3003" t="s">
        <v>3005</v>
      </c>
      <c r="B3003">
        <v>34.036885099999999</v>
      </c>
      <c r="C3003">
        <v>-118.61047960000001</v>
      </c>
      <c r="D3003" t="s">
        <v>5</v>
      </c>
    </row>
    <row r="3004" spans="1:4" x14ac:dyDescent="0.45">
      <c r="A3004" t="s">
        <v>3006</v>
      </c>
      <c r="B3004">
        <v>34.0393106</v>
      </c>
      <c r="C3004">
        <v>-118.5987804</v>
      </c>
      <c r="D3004" t="str">
        <f>HYPERLINK("https://lh5.googleusercontent.com/p/AF1QipMqZOw4UcU4Ob-lT2mrs6r3xe8wz9M48e1fzIIW=w408-h544-k-no", "link")</f>
        <v>link</v>
      </c>
    </row>
    <row r="3005" spans="1:4" x14ac:dyDescent="0.45">
      <c r="A3005" t="s">
        <v>3007</v>
      </c>
      <c r="B3005">
        <v>34.039380700000002</v>
      </c>
      <c r="C3005">
        <v>-118.5987183</v>
      </c>
      <c r="D3005" t="s">
        <v>5</v>
      </c>
    </row>
    <row r="3006" spans="1:4" x14ac:dyDescent="0.45">
      <c r="A3006" t="s">
        <v>3008</v>
      </c>
      <c r="B3006">
        <v>34.039447699999997</v>
      </c>
      <c r="C3006">
        <v>-118.5970315</v>
      </c>
      <c r="D3006" t="s">
        <v>5</v>
      </c>
    </row>
    <row r="3007" spans="1:4" x14ac:dyDescent="0.45">
      <c r="A3007" t="s">
        <v>3009</v>
      </c>
      <c r="B3007">
        <v>34.048200399999999</v>
      </c>
      <c r="C3007">
        <v>-118.9504353</v>
      </c>
      <c r="D3007" t="str">
        <f>HYPERLINK("https://lh5.googleusercontent.com/p/AF1QipNTjhhDiaxNNVooHbOuZ4S89Si1x2IPw2UtOCeV=w408-h544-k-no", "link")</f>
        <v>link</v>
      </c>
    </row>
    <row r="3008" spans="1:4" x14ac:dyDescent="0.45">
      <c r="A3008" t="s">
        <v>3010</v>
      </c>
      <c r="B3008">
        <v>34.033776500000002</v>
      </c>
      <c r="C3008">
        <v>-118.7347331</v>
      </c>
      <c r="D3008" t="s">
        <v>5</v>
      </c>
    </row>
    <row r="3009" spans="1:4" x14ac:dyDescent="0.45">
      <c r="A3009" t="s">
        <v>3011</v>
      </c>
      <c r="B3009">
        <v>34.0396061</v>
      </c>
      <c r="C3009">
        <v>-118.55489350000001</v>
      </c>
      <c r="D3009" t="str">
        <f>HYPERLINK("https://lh5.googleusercontent.com/p/AF1QipPR4SWgQJJaGR4bAJ2qNFuyqN2hjfbs-2S_bzAP=w408-h725-k-no", "link")</f>
        <v>link</v>
      </c>
    </row>
    <row r="3010" spans="1:4" x14ac:dyDescent="0.45">
      <c r="A3010" t="s">
        <v>3012</v>
      </c>
      <c r="B3010">
        <v>34.040390799999997</v>
      </c>
      <c r="C3010">
        <v>-118.5449565</v>
      </c>
      <c r="D3010" t="str">
        <f>HYPERLINK("https://lh5.googleusercontent.com/p/AF1QipNPB8DjhzZ-5FqRSPo-4R-XlnBmSdqZxcOgr5dg=w408-h306-k-no", "link")</f>
        <v>link</v>
      </c>
    </row>
    <row r="3011" spans="1:4" x14ac:dyDescent="0.45">
      <c r="A3011" t="s">
        <v>3013</v>
      </c>
      <c r="B3011">
        <v>34.038611299999999</v>
      </c>
      <c r="C3011">
        <v>-118.54213369999999</v>
      </c>
      <c r="D3011" t="s">
        <v>5</v>
      </c>
    </row>
    <row r="3012" spans="1:4" x14ac:dyDescent="0.45">
      <c r="A3012" t="s">
        <v>3014</v>
      </c>
      <c r="B3012">
        <v>34.036518899999997</v>
      </c>
      <c r="C3012">
        <v>-118.5377556</v>
      </c>
      <c r="D3012" t="s">
        <v>5</v>
      </c>
    </row>
    <row r="3013" spans="1:4" x14ac:dyDescent="0.45">
      <c r="A3013" t="s">
        <v>3015</v>
      </c>
      <c r="B3013">
        <v>34.035767499999999</v>
      </c>
      <c r="C3013">
        <v>-118.536626</v>
      </c>
      <c r="D3013" t="str">
        <f>HYPERLINK("https://lh5.googleusercontent.com/p/AF1QipMX5AFa0pXY7h8zHz1pzM_nkO3m4whwSNoOy3to=w408-h544-k-no", "link")</f>
        <v>link</v>
      </c>
    </row>
    <row r="3014" spans="1:4" x14ac:dyDescent="0.45">
      <c r="A3014" t="s">
        <v>3016</v>
      </c>
      <c r="B3014">
        <v>34.050501699999998</v>
      </c>
      <c r="C3014">
        <v>-118.529736</v>
      </c>
      <c r="D3014" t="str">
        <f>HYPERLINK("https://lh5.googleusercontent.com/p/AF1QipP3OEC26IxpD3n7WbYaCsdtXbuJsALA8kXCjTyb=w408-h306-k-no", "link")</f>
        <v>link</v>
      </c>
    </row>
    <row r="3015" spans="1:4" x14ac:dyDescent="0.45">
      <c r="A3015" t="s">
        <v>3017</v>
      </c>
      <c r="B3015">
        <v>34.050401600000001</v>
      </c>
      <c r="C3015">
        <v>-118.5293913</v>
      </c>
      <c r="D3015" t="str">
        <f>HYPERLINK("https://streetviewpixels-pa.googleapis.com/v1/thumbnail?panoid=_VpEaxBmoBMjlmWHBznZ9g&amp;cb_client=search.gws-prod.gps&amp;w=408&amp;h=240&amp;yaw=180.13014&amp;pitch=0&amp;thumbfov=100", "link")</f>
        <v>link</v>
      </c>
    </row>
    <row r="3016" spans="1:4" x14ac:dyDescent="0.45">
      <c r="A3016" t="s">
        <v>3018</v>
      </c>
      <c r="B3016">
        <v>34.031481300000003</v>
      </c>
      <c r="C3016">
        <v>-118.526354</v>
      </c>
      <c r="D3016" t="s">
        <v>5</v>
      </c>
    </row>
    <row r="3017" spans="1:4" x14ac:dyDescent="0.45">
      <c r="A3017" t="s">
        <v>3019</v>
      </c>
      <c r="B3017">
        <v>34.044876100000003</v>
      </c>
      <c r="C3017">
        <v>-118.525533</v>
      </c>
      <c r="D3017" t="str">
        <f>HYPERLINK("https://streetviewpixels-pa.googleapis.com/v1/thumbnail?panoid=Ex0KQGYsXVR9xil_fQk56A&amp;cb_client=search.gws-prod.gps&amp;w=408&amp;h=240&amp;yaw=284.10715&amp;pitch=0&amp;thumbfov=100", "link")</f>
        <v>link</v>
      </c>
    </row>
    <row r="3018" spans="1:4" x14ac:dyDescent="0.45">
      <c r="A3018" t="s">
        <v>3020</v>
      </c>
      <c r="B3018">
        <v>34.0461799999999</v>
      </c>
      <c r="C3018">
        <v>-118.52500689999999</v>
      </c>
      <c r="D3018" t="str">
        <f>HYPERLINK("https://streetviewpixels-pa.googleapis.com/v1/thumbnail?panoid=_8jrqpiehwPPOyZkrCbaqw&amp;cb_client=search.gws-prod.gps&amp;w=408&amp;h=240&amp;yaw=229.65208&amp;pitch=0&amp;thumbfov=100", "link")</f>
        <v>link</v>
      </c>
    </row>
    <row r="3019" spans="1:4" x14ac:dyDescent="0.45">
      <c r="A3019" t="s">
        <v>3021</v>
      </c>
      <c r="B3019">
        <v>34.046795000000003</v>
      </c>
      <c r="C3019">
        <v>-118.52382900000001</v>
      </c>
      <c r="D3019" t="str">
        <f>HYPERLINK("https://streetviewpixels-pa.googleapis.com/v1/thumbnail?panoid=hpxE0QjjCb9WOa_GqfXpjQ&amp;cb_client=search.gws-prod.gps&amp;w=408&amp;h=240&amp;yaw=77.098495&amp;pitch=0&amp;thumbfov=100", "link")</f>
        <v>link</v>
      </c>
    </row>
    <row r="3020" spans="1:4" x14ac:dyDescent="0.45">
      <c r="A3020" t="s">
        <v>3022</v>
      </c>
      <c r="B3020">
        <v>34.0471127</v>
      </c>
      <c r="C3020">
        <v>-118.5603742</v>
      </c>
      <c r="D3020" t="s">
        <v>5</v>
      </c>
    </row>
    <row r="3021" spans="1:4" x14ac:dyDescent="0.45">
      <c r="A3021" t="s">
        <v>3023</v>
      </c>
      <c r="B3021">
        <v>34.046245900000002</v>
      </c>
      <c r="C3021">
        <v>-118.5600094</v>
      </c>
      <c r="D3021" t="s">
        <v>5</v>
      </c>
    </row>
    <row r="3022" spans="1:4" x14ac:dyDescent="0.45">
      <c r="A3022" t="s">
        <v>3024</v>
      </c>
      <c r="B3022">
        <v>34.047110699999998</v>
      </c>
      <c r="C3022">
        <v>-118.5599866</v>
      </c>
      <c r="D3022" t="s">
        <v>5</v>
      </c>
    </row>
    <row r="3023" spans="1:4" x14ac:dyDescent="0.45">
      <c r="A3023" t="s">
        <v>3025</v>
      </c>
      <c r="B3023">
        <v>34.039297400000002</v>
      </c>
      <c r="C3023">
        <v>-118.5587822</v>
      </c>
      <c r="D3023" t="str">
        <f>HYPERLINK("https://lh5.googleusercontent.com/p/AF1QipPqwopSi6MJTedg_BI0AVn35chugcGgMrvbAXEO=w408-h306-k-no", "link")</f>
        <v>link</v>
      </c>
    </row>
    <row r="3024" spans="1:4" x14ac:dyDescent="0.45">
      <c r="A3024" t="s">
        <v>3026</v>
      </c>
      <c r="B3024">
        <v>34.045272300000001</v>
      </c>
      <c r="C3024">
        <v>-118.55896060000001</v>
      </c>
      <c r="D3024" t="s">
        <v>5</v>
      </c>
    </row>
    <row r="3025" spans="1:4" x14ac:dyDescent="0.45">
      <c r="A3025" t="s">
        <v>3027</v>
      </c>
      <c r="B3025">
        <v>34.044327000000003</v>
      </c>
      <c r="C3025">
        <v>-118.55795740000001</v>
      </c>
      <c r="D3025" t="s">
        <v>5</v>
      </c>
    </row>
    <row r="3026" spans="1:4" x14ac:dyDescent="0.45">
      <c r="A3026" t="s">
        <v>3028</v>
      </c>
      <c r="B3026">
        <v>34.038366199999899</v>
      </c>
      <c r="C3026">
        <v>-118.55658149999999</v>
      </c>
      <c r="D3026" t="s">
        <v>5</v>
      </c>
    </row>
    <row r="3027" spans="1:4" x14ac:dyDescent="0.45">
      <c r="A3027" t="s">
        <v>3029</v>
      </c>
      <c r="B3027">
        <v>34.0382769</v>
      </c>
      <c r="C3027">
        <v>-118.5551758</v>
      </c>
      <c r="D3027" t="s">
        <v>5</v>
      </c>
    </row>
    <row r="3028" spans="1:4" x14ac:dyDescent="0.45">
      <c r="A3028" t="s">
        <v>3030</v>
      </c>
      <c r="B3028">
        <v>34.114124099999998</v>
      </c>
      <c r="C3028">
        <v>-118.9182455</v>
      </c>
      <c r="D3028" t="s">
        <v>5</v>
      </c>
    </row>
    <row r="3029" spans="1:4" x14ac:dyDescent="0.45">
      <c r="A3029" t="s">
        <v>3031</v>
      </c>
      <c r="B3029">
        <v>34.114522399999998</v>
      </c>
      <c r="C3029">
        <v>-118.9182455</v>
      </c>
      <c r="D3029" t="s">
        <v>5</v>
      </c>
    </row>
    <row r="3030" spans="1:4" x14ac:dyDescent="0.45">
      <c r="A3030" t="s">
        <v>3032</v>
      </c>
      <c r="B3030">
        <v>34.111343900000001</v>
      </c>
      <c r="C3030">
        <v>-118.9267531</v>
      </c>
      <c r="D3030" t="s">
        <v>5</v>
      </c>
    </row>
    <row r="3031" spans="1:4" x14ac:dyDescent="0.45">
      <c r="A3031" t="s">
        <v>3033</v>
      </c>
      <c r="B3031">
        <v>33.889397899999999</v>
      </c>
      <c r="C3031">
        <v>-118.4051741</v>
      </c>
      <c r="D3031" t="s">
        <v>5</v>
      </c>
    </row>
    <row r="3032" spans="1:4" x14ac:dyDescent="0.45">
      <c r="A3032" t="s">
        <v>3034</v>
      </c>
      <c r="B3032">
        <v>33.894024000000002</v>
      </c>
      <c r="C3032">
        <v>-118.4163245</v>
      </c>
      <c r="D3032" t="s">
        <v>5</v>
      </c>
    </row>
    <row r="3033" spans="1:4" x14ac:dyDescent="0.45">
      <c r="A3033" t="s">
        <v>3035</v>
      </c>
      <c r="B3033">
        <v>33.8940591</v>
      </c>
      <c r="C3033">
        <v>-118.4163234</v>
      </c>
      <c r="D3033" t="s">
        <v>5</v>
      </c>
    </row>
    <row r="3034" spans="1:4" x14ac:dyDescent="0.45">
      <c r="A3034" t="s">
        <v>3036</v>
      </c>
      <c r="B3034">
        <v>33.900227200000003</v>
      </c>
      <c r="C3034">
        <v>-118.4176156</v>
      </c>
      <c r="D3034" t="str">
        <f>HYPERLINK("https://streetviewpixels-pa.googleapis.com/v1/thumbnail?panoid=tMVHvMEApBj7xNiuorBJXQ&amp;cb_client=search.gws-prod.gps&amp;w=408&amp;h=240&amp;yaw=262.51364&amp;pitch=0&amp;thumbfov=100", "link")</f>
        <v>link</v>
      </c>
    </row>
    <row r="3035" spans="1:4" x14ac:dyDescent="0.45">
      <c r="A3035" t="s">
        <v>3037</v>
      </c>
      <c r="B3035">
        <v>33.889535700000003</v>
      </c>
      <c r="C3035">
        <v>-118.4098954</v>
      </c>
      <c r="D3035" t="s">
        <v>5</v>
      </c>
    </row>
    <row r="3036" spans="1:4" x14ac:dyDescent="0.45">
      <c r="A3036" t="s">
        <v>3038</v>
      </c>
      <c r="B3036">
        <v>33.9894733</v>
      </c>
      <c r="C3036">
        <v>-118.4624017</v>
      </c>
      <c r="D3036" t="str">
        <f>HYPERLINK("https://streetviewpixels-pa.googleapis.com/v1/thumbnail?panoid=EJxW7kxZah3qNWvgIXEBiQ&amp;cb_client=search.gws-prod.gps&amp;w=408&amp;h=240&amp;yaw=262.914&amp;pitch=0&amp;thumbfov=100", "link")</f>
        <v>link</v>
      </c>
    </row>
    <row r="3037" spans="1:4" x14ac:dyDescent="0.45">
      <c r="A3037" t="s">
        <v>3039</v>
      </c>
      <c r="B3037">
        <v>33.989583000000003</v>
      </c>
      <c r="C3037">
        <v>-118.4628148</v>
      </c>
      <c r="D3037" t="str">
        <f>HYPERLINK("https://streetviewpixels-pa.googleapis.com/v1/thumbnail?panoid=z-5y-EcuzPIytstu0KTeGQ&amp;cb_client=search.gws-prod.gps&amp;w=408&amp;h=240&amp;yaw=218.75319&amp;pitch=0&amp;thumbfov=100", "link")</f>
        <v>link</v>
      </c>
    </row>
    <row r="3038" spans="1:4" x14ac:dyDescent="0.45">
      <c r="A3038" t="s">
        <v>3040</v>
      </c>
      <c r="B3038">
        <v>33.985526899999897</v>
      </c>
      <c r="C3038">
        <v>-118.46867140000001</v>
      </c>
      <c r="D3038" t="str">
        <f>HYPERLINK("https://lh5.googleusercontent.com/p/AF1QipOE6dRjFLExB-hXJQR80zzfQR_e6HCoFDOQU3mq=w408-h544-k-no", "link")</f>
        <v>link</v>
      </c>
    </row>
    <row r="3039" spans="1:4" x14ac:dyDescent="0.45">
      <c r="A3039" t="s">
        <v>3041</v>
      </c>
      <c r="B3039">
        <v>33.9853053</v>
      </c>
      <c r="C3039">
        <v>-118.46881190000001</v>
      </c>
      <c r="D3039" t="str">
        <f>HYPERLINK("https://streetviewpixels-pa.googleapis.com/v1/thumbnail?panoid=epK9RYQDUFrd-Z94GdtCnA&amp;cb_client=search.gws-prod.gps&amp;w=408&amp;h=240&amp;yaw=281.69824&amp;pitch=0&amp;thumbfov=100", "link")</f>
        <v>link</v>
      </c>
    </row>
    <row r="3040" spans="1:4" x14ac:dyDescent="0.45">
      <c r="A3040" t="s">
        <v>3042</v>
      </c>
      <c r="B3040">
        <v>33.985282899999902</v>
      </c>
      <c r="C3040">
        <v>-118.4688864</v>
      </c>
      <c r="D3040" t="str">
        <f>HYPERLINK("https://lh5.googleusercontent.com/p/AF1QipNUHx1BFiLZQFBXtAwYh1yUfOTjFGY2XOCgN80c=w408-h544-k-no", "link")</f>
        <v>link</v>
      </c>
    </row>
    <row r="3041" spans="1:4" x14ac:dyDescent="0.45">
      <c r="A3041" t="s">
        <v>3043</v>
      </c>
      <c r="B3041">
        <v>33.985278800000003</v>
      </c>
      <c r="C3041">
        <v>-118.46947590000001</v>
      </c>
      <c r="D3041" t="str">
        <f>HYPERLINK("https://streetviewpixels-pa.googleapis.com/v1/thumbnail?panoid=85iNcPZXIZync07nshvTfg&amp;cb_client=search.gws-prod.gps&amp;w=408&amp;h=240&amp;yaw=118.73748&amp;pitch=0&amp;thumbfov=100", "link")</f>
        <v>link</v>
      </c>
    </row>
    <row r="3042" spans="1:4" x14ac:dyDescent="0.45">
      <c r="A3042" t="s">
        <v>3044</v>
      </c>
      <c r="B3042">
        <v>33.990108499999998</v>
      </c>
      <c r="C3042">
        <v>-118.4638075</v>
      </c>
      <c r="D3042" t="str">
        <f>HYPERLINK("https://lh5.googleusercontent.com/p/AF1QipONSWatzlmI1UWdf3gRY_S1jwjI69odr-CjIU0D=w408-h306-k-no", "link")</f>
        <v>link</v>
      </c>
    </row>
    <row r="3043" spans="1:4" x14ac:dyDescent="0.45">
      <c r="A3043" t="s">
        <v>3045</v>
      </c>
      <c r="B3043">
        <v>33.9884153</v>
      </c>
      <c r="C3043">
        <v>-118.4511567</v>
      </c>
      <c r="D3043" t="str">
        <f>HYPERLINK("https://streetviewpixels-pa.googleapis.com/v1/thumbnail?panoid=iZuXripNUW2CfbyWEFULXA&amp;cb_client=search.gws-prod.gps&amp;w=408&amp;h=240&amp;yaw=314.8796&amp;pitch=0&amp;thumbfov=100", "link")</f>
        <v>link</v>
      </c>
    </row>
    <row r="3044" spans="1:4" x14ac:dyDescent="0.45">
      <c r="A3044" t="s">
        <v>3046</v>
      </c>
      <c r="B3044">
        <v>33.990329899999999</v>
      </c>
      <c r="C3044">
        <v>-118.4641756</v>
      </c>
      <c r="D3044" t="str">
        <f>HYPERLINK("https://streetviewpixels-pa.googleapis.com/v1/thumbnail?panoid=dIvkhKo2eEEC6iUPzwI44Q&amp;cb_client=search.gws-prod.gps&amp;w=408&amp;h=240&amp;yaw=11.318476&amp;pitch=0&amp;thumbfov=100", "link")</f>
        <v>link</v>
      </c>
    </row>
    <row r="3045" spans="1:4" x14ac:dyDescent="0.45">
      <c r="A3045" t="s">
        <v>3047</v>
      </c>
      <c r="B3045">
        <v>33.984772200000002</v>
      </c>
      <c r="C3045">
        <v>-118.47035579999999</v>
      </c>
      <c r="D3045" t="str">
        <f>HYPERLINK("https://streetviewpixels-pa.googleapis.com/v1/thumbnail?panoid=85d7rCjZKZqrQ_Cn57fr1Q&amp;cb_client=search.gws-prod.gps&amp;w=408&amp;h=240&amp;yaw=122.56926&amp;pitch=0&amp;thumbfov=100", "link")</f>
        <v>link</v>
      </c>
    </row>
    <row r="3046" spans="1:4" x14ac:dyDescent="0.45">
      <c r="A3046" t="s">
        <v>3048</v>
      </c>
      <c r="B3046">
        <v>33.990631399999998</v>
      </c>
      <c r="C3046">
        <v>-118.4642042</v>
      </c>
      <c r="D3046" t="str">
        <f>HYPERLINK("https://streetviewpixels-pa.googleapis.com/v1/thumbnail?panoid=0Q7SvEILnxRtd5sj6aP6Bw&amp;cb_client=search.gws-prod.gps&amp;w=408&amp;h=240&amp;yaw=119.82496&amp;pitch=0&amp;thumbfov=100", "link")</f>
        <v>link</v>
      </c>
    </row>
    <row r="3047" spans="1:4" x14ac:dyDescent="0.45">
      <c r="A3047" t="s">
        <v>3049</v>
      </c>
      <c r="B3047">
        <v>33.9848304</v>
      </c>
      <c r="C3047">
        <v>-118.4707755</v>
      </c>
      <c r="D3047" t="str">
        <f>HYPERLINK("https://streetviewpixels-pa.googleapis.com/v1/thumbnail?panoid=LDOI0-MhM4Ofjt18TXtwTQ&amp;cb_client=search.gws-prod.gps&amp;w=408&amp;h=240&amp;yaw=323.25546&amp;pitch=0&amp;thumbfov=100", "link")</f>
        <v>link</v>
      </c>
    </row>
    <row r="3048" spans="1:4" x14ac:dyDescent="0.45">
      <c r="A3048" t="s">
        <v>3050</v>
      </c>
      <c r="B3048">
        <v>33.984510399999998</v>
      </c>
      <c r="C3048">
        <v>-118.4710951</v>
      </c>
      <c r="D3048" t="str">
        <f>HYPERLINK("https://lh5.googleusercontent.com/p/AF1QipM_snMc5dB-q2lF7GRRF-oBrywX2DrBN3zf3-RO=w408-h544-k-no", "link")</f>
        <v>link</v>
      </c>
    </row>
    <row r="3049" spans="1:4" x14ac:dyDescent="0.45">
      <c r="A3049" t="s">
        <v>3051</v>
      </c>
      <c r="B3049">
        <v>33.983512999999903</v>
      </c>
      <c r="C3049">
        <v>-118.4466427</v>
      </c>
      <c r="D3049" t="str">
        <f>HYPERLINK("https://streetviewpixels-pa.googleapis.com/v1/thumbnail?panoid=7u17lHSTPrdUDiK-3b_O5A&amp;cb_client=search.gws-prod.gps&amp;w=408&amp;h=240&amp;yaw=241.24913&amp;pitch=0&amp;thumbfov=100", "link")</f>
        <v>link</v>
      </c>
    </row>
    <row r="3050" spans="1:4" x14ac:dyDescent="0.45">
      <c r="A3050" t="s">
        <v>3052</v>
      </c>
      <c r="B3050">
        <v>33.991840699999997</v>
      </c>
      <c r="C3050">
        <v>-118.45842930000001</v>
      </c>
      <c r="D3050" t="s">
        <v>5</v>
      </c>
    </row>
    <row r="3051" spans="1:4" x14ac:dyDescent="0.45">
      <c r="A3051" t="s">
        <v>3053</v>
      </c>
      <c r="B3051">
        <v>33.991846600000002</v>
      </c>
      <c r="C3051">
        <v>-118.45838740000001</v>
      </c>
      <c r="D3051" t="s">
        <v>5</v>
      </c>
    </row>
    <row r="3052" spans="1:4" x14ac:dyDescent="0.45">
      <c r="A3052" t="s">
        <v>3054</v>
      </c>
      <c r="B3052">
        <v>33.9838472</v>
      </c>
      <c r="C3052">
        <v>-118.471615</v>
      </c>
      <c r="D3052" t="str">
        <f>HYPERLINK("https://lh5.googleusercontent.com/p/AF1QipMRZ8_eTGkGxhvyChdWCEMsBkaaWISaTqvgPT_O=w408-h306-k-no", "link")</f>
        <v>link</v>
      </c>
    </row>
    <row r="3053" spans="1:4" x14ac:dyDescent="0.45">
      <c r="A3053" t="s">
        <v>3055</v>
      </c>
      <c r="B3053">
        <v>33.983893999999999</v>
      </c>
      <c r="C3053">
        <v>-118.4716028</v>
      </c>
      <c r="D3053" t="str">
        <f>HYPERLINK("https://lh5.googleusercontent.com/p/AF1QipMRZ8_eTGkGxhvyChdWCEMsBkaaWISaTqvgPT_O=w408-h306-k-no", "link")</f>
        <v>link</v>
      </c>
    </row>
    <row r="3054" spans="1:4" x14ac:dyDescent="0.45">
      <c r="A3054" t="s">
        <v>3056</v>
      </c>
      <c r="B3054">
        <v>33.9908967</v>
      </c>
      <c r="C3054">
        <v>-118.4652433</v>
      </c>
      <c r="D3054" t="str">
        <f>HYPERLINK("https://streetviewpixels-pa.googleapis.com/v1/thumbnail?panoid=7RCp_rJMU3BoHd_4GBZSFA&amp;cb_client=search.gws-prod.gps&amp;w=408&amp;h=240&amp;yaw=147.96187&amp;pitch=0&amp;thumbfov=100", "link")</f>
        <v>link</v>
      </c>
    </row>
    <row r="3055" spans="1:4" x14ac:dyDescent="0.45">
      <c r="A3055" t="s">
        <v>3057</v>
      </c>
      <c r="B3055">
        <v>33.991118399999998</v>
      </c>
      <c r="C3055">
        <v>-118.46485699999999</v>
      </c>
      <c r="D3055" t="str">
        <f>HYPERLINK("https://streetviewpixels-pa.googleapis.com/v1/thumbnail?panoid=gJSEW93KUzc-ngFt_XByew&amp;cb_client=search.gws-prod.gps&amp;w=408&amp;h=240&amp;yaw=11.374277&amp;pitch=0&amp;thumbfov=100", "link")</f>
        <v>link</v>
      </c>
    </row>
    <row r="3056" spans="1:4" x14ac:dyDescent="0.45">
      <c r="A3056" t="s">
        <v>3058</v>
      </c>
      <c r="B3056">
        <v>33.981281699999997</v>
      </c>
      <c r="C3056">
        <v>-118.4590407</v>
      </c>
      <c r="D3056" t="str">
        <f>HYPERLINK("https://lh5.googleusercontent.com/p/AF1QipN9_aSmBorqQAo1h-5Cx3U7zHy8mVrWRXb0tnyK=w408-h306-k-no", "link")</f>
        <v>link</v>
      </c>
    </row>
    <row r="3057" spans="1:4" x14ac:dyDescent="0.45">
      <c r="A3057" t="s">
        <v>3059</v>
      </c>
      <c r="B3057">
        <v>33.980298900000001</v>
      </c>
      <c r="C3057">
        <v>-118.4590299</v>
      </c>
      <c r="D3057" t="str">
        <f>HYPERLINK("https://streetviewpixels-pa.googleapis.com/v1/thumbnail?panoid=kWx9Xpg4ymNymLNPDDikVQ&amp;cb_client=search.gws-prod.gps&amp;w=408&amp;h=240&amp;yaw=180.89424&amp;pitch=0&amp;thumbfov=100", "link")</f>
        <v>link</v>
      </c>
    </row>
    <row r="3058" spans="1:4" x14ac:dyDescent="0.45">
      <c r="A3058" t="s">
        <v>3060</v>
      </c>
      <c r="B3058">
        <v>33.9796426999999</v>
      </c>
      <c r="C3058">
        <v>-118.4585055</v>
      </c>
      <c r="D3058" t="str">
        <f>HYPERLINK("https://lh5.googleusercontent.com/p/AF1QipMak4oDpmZInAVvQ8umAmDeHWWpJIPueEY1LLk7=w426-h240-k-no", "link")</f>
        <v>link</v>
      </c>
    </row>
    <row r="3059" spans="1:4" x14ac:dyDescent="0.45">
      <c r="A3059" t="s">
        <v>3061</v>
      </c>
      <c r="B3059">
        <v>33.9793156</v>
      </c>
      <c r="C3059">
        <v>-118.4578173</v>
      </c>
      <c r="D3059" t="s">
        <v>5</v>
      </c>
    </row>
    <row r="3060" spans="1:4" x14ac:dyDescent="0.45">
      <c r="A3060" t="s">
        <v>3062</v>
      </c>
      <c r="B3060">
        <v>33.979229099999998</v>
      </c>
      <c r="C3060">
        <v>-118.4578362</v>
      </c>
      <c r="D3060" t="s">
        <v>5</v>
      </c>
    </row>
    <row r="3061" spans="1:4" x14ac:dyDescent="0.45">
      <c r="A3061" t="s">
        <v>3063</v>
      </c>
      <c r="B3061">
        <v>33.983565799999901</v>
      </c>
      <c r="C3061">
        <v>-118.4588856</v>
      </c>
      <c r="D3061" t="str">
        <f>HYPERLINK("https://streetviewpixels-pa.googleapis.com/v1/thumbnail?panoid=4fiODYTiG8tu09Tf6WtVSg&amp;cb_client=search.gws-prod.gps&amp;w=408&amp;h=240&amp;yaw=337.65182&amp;pitch=0&amp;thumbfov=100", "link")</f>
        <v>link</v>
      </c>
    </row>
    <row r="3062" spans="1:4" x14ac:dyDescent="0.45">
      <c r="A3062" t="s">
        <v>3064</v>
      </c>
      <c r="B3062">
        <v>33.982417599999998</v>
      </c>
      <c r="C3062">
        <v>-118.456149</v>
      </c>
      <c r="D3062" t="str">
        <f>HYPERLINK("https://lh5.googleusercontent.com/p/AF1QipPt_9lp7nRGmzCJSwxFYrqJ3hF59IcD1rT7wsy-=w426-h240-k-no", "link")</f>
        <v>link</v>
      </c>
    </row>
    <row r="3063" spans="1:4" x14ac:dyDescent="0.45">
      <c r="A3063" t="s">
        <v>3065</v>
      </c>
      <c r="B3063">
        <v>33.983832099999901</v>
      </c>
      <c r="C3063">
        <v>-118.45721589999999</v>
      </c>
      <c r="D3063" t="str">
        <f>HYPERLINK("https://streetviewpixels-pa.googleapis.com/v1/thumbnail?panoid=99OVfpf7Vq4Uw8omth0qBQ&amp;cb_client=search.gws-prod.gps&amp;w=408&amp;h=240&amp;yaw=319.42465&amp;pitch=0&amp;thumbfov=100", "link")</f>
        <v>link</v>
      </c>
    </row>
    <row r="3064" spans="1:4" x14ac:dyDescent="0.45">
      <c r="A3064" t="s">
        <v>3066</v>
      </c>
      <c r="B3064">
        <v>33.981192900000003</v>
      </c>
      <c r="C3064">
        <v>-118.46270579999999</v>
      </c>
      <c r="D3064" t="str">
        <f>HYPERLINK("https://streetviewpixels-pa.googleapis.com/v1/thumbnail?panoid=2jyM_QtMDo6frm98xIxXfA&amp;cb_client=search.gws-prod.gps&amp;w=408&amp;h=240&amp;yaw=161.84346&amp;pitch=0&amp;thumbfov=100", "link")</f>
        <v>link</v>
      </c>
    </row>
    <row r="3065" spans="1:4" x14ac:dyDescent="0.45">
      <c r="A3065" t="s">
        <v>3067</v>
      </c>
      <c r="B3065">
        <v>33.984317400000002</v>
      </c>
      <c r="C3065">
        <v>-118.4570521</v>
      </c>
      <c r="D3065" t="str">
        <f>HYPERLINK("https://lh5.googleusercontent.com/p/AF1QipO6pNEfWSCxzW8Sx8Ffni6VFd0CedoCoPS8gm9x=w408-h306-k-no", "link")</f>
        <v>link</v>
      </c>
    </row>
    <row r="3066" spans="1:4" x14ac:dyDescent="0.45">
      <c r="A3066" t="s">
        <v>3068</v>
      </c>
      <c r="B3066">
        <v>33.979345000000002</v>
      </c>
      <c r="C3066">
        <v>-118.45546349999999</v>
      </c>
      <c r="D3066" t="s">
        <v>5</v>
      </c>
    </row>
    <row r="3067" spans="1:4" x14ac:dyDescent="0.45">
      <c r="A3067" t="s">
        <v>3069</v>
      </c>
      <c r="B3067">
        <v>33.979292399999999</v>
      </c>
      <c r="C3067">
        <v>-118.45522920000001</v>
      </c>
      <c r="D3067" t="s">
        <v>5</v>
      </c>
    </row>
    <row r="3068" spans="1:4" x14ac:dyDescent="0.45">
      <c r="A3068" t="s">
        <v>3070</v>
      </c>
      <c r="B3068">
        <v>33.978656299999997</v>
      </c>
      <c r="C3068">
        <v>-118.4532974</v>
      </c>
      <c r="D3068" t="str">
        <f>HYPERLINK("https://streetviewpixels-pa.googleapis.com/v1/thumbnail?panoid=79K95PDtXncFC8GNDSOt3A&amp;cb_client=search.gws-prod.gps&amp;w=408&amp;h=240&amp;yaw=180.58093&amp;pitch=0&amp;thumbfov=100", "link")</f>
        <v>link</v>
      </c>
    </row>
    <row r="3069" spans="1:4" x14ac:dyDescent="0.45">
      <c r="A3069" t="s">
        <v>3071</v>
      </c>
      <c r="B3069">
        <v>33.979468400000002</v>
      </c>
      <c r="C3069">
        <v>-118.46556889999999</v>
      </c>
      <c r="D3069" t="str">
        <f>HYPERLINK("https://lh5.googleusercontent.com/p/AF1QipPYeULK-TCouZ6hy_o37hYwqcmtH39H1JJNOs20=w426-h240-k-no", "link")</f>
        <v>link</v>
      </c>
    </row>
    <row r="3070" spans="1:4" x14ac:dyDescent="0.45">
      <c r="A3070" t="s">
        <v>3072</v>
      </c>
      <c r="B3070">
        <v>33.979286899999998</v>
      </c>
      <c r="C3070">
        <v>-118.4525416</v>
      </c>
      <c r="D3070" t="str">
        <f>HYPERLINK("https://streetviewpixels-pa.googleapis.com/v1/thumbnail?panoid=LxzPa8WLdp1Fqikht39cfw&amp;cb_client=search.gws-prod.gps&amp;w=408&amp;h=240&amp;yaw=19.647156&amp;pitch=0&amp;thumbfov=100", "link")</f>
        <v>link</v>
      </c>
    </row>
    <row r="3071" spans="1:4" x14ac:dyDescent="0.45">
      <c r="A3071" t="s">
        <v>3073</v>
      </c>
      <c r="B3071">
        <v>33.985106700000003</v>
      </c>
      <c r="C3071">
        <v>-118.45091549999999</v>
      </c>
      <c r="D3071" t="str">
        <f>HYPERLINK("https://streetviewpixels-pa.googleapis.com/v1/thumbnail?panoid=m_un33C929wmvdpWCSPqKQ&amp;cb_client=search.gws-prod.gps&amp;w=408&amp;h=240&amp;yaw=106.86111&amp;pitch=0&amp;thumbfov=100", "link")</f>
        <v>link</v>
      </c>
    </row>
    <row r="3072" spans="1:4" x14ac:dyDescent="0.45">
      <c r="A3072" t="s">
        <v>3074</v>
      </c>
      <c r="B3072">
        <v>33.983168599999999</v>
      </c>
      <c r="C3072">
        <v>-118.4681858</v>
      </c>
      <c r="D3072" t="str">
        <f>HYPERLINK("https://streetviewpixels-pa.googleapis.com/v1/thumbnail?panoid=KoVvO2Zn0y8-vic4VA-DVA&amp;cb_client=search.gws-prod.gps&amp;w=408&amp;h=240&amp;yaw=69.147606&amp;pitch=0&amp;thumbfov=100", "link")</f>
        <v>link</v>
      </c>
    </row>
    <row r="3073" spans="1:4" x14ac:dyDescent="0.45">
      <c r="A3073" t="s">
        <v>3075</v>
      </c>
      <c r="B3073">
        <v>33.9878923999999</v>
      </c>
      <c r="C3073">
        <v>-118.46470480000001</v>
      </c>
      <c r="D3073" t="str">
        <f>HYPERLINK("https://streetviewpixels-pa.googleapis.com/v1/thumbnail?panoid=3QcuGLHRo48Nz-uWEnkL3A&amp;cb_client=search.gws-prod.gps&amp;w=408&amp;h=240&amp;yaw=334.98563&amp;pitch=0&amp;thumbfov=100", "link")</f>
        <v>link</v>
      </c>
    </row>
    <row r="3074" spans="1:4" x14ac:dyDescent="0.45">
      <c r="A3074" t="s">
        <v>3076</v>
      </c>
      <c r="B3074">
        <v>33.986677100000001</v>
      </c>
      <c r="C3074">
        <v>-118.4664657</v>
      </c>
      <c r="D3074" t="str">
        <f>HYPERLINK("https://streetviewpixels-pa.googleapis.com/v1/thumbnail?panoid=pCTgpsq4JebDEGgkXmmoWA&amp;cb_client=search.gws-prod.gps&amp;w=408&amp;h=240&amp;yaw=288.09134&amp;pitch=0&amp;thumbfov=100", "link")</f>
        <v>link</v>
      </c>
    </row>
    <row r="3075" spans="1:4" x14ac:dyDescent="0.45">
      <c r="A3075" t="s">
        <v>3077</v>
      </c>
      <c r="B3075">
        <v>33.988154799999997</v>
      </c>
      <c r="C3075">
        <v>-118.4530106</v>
      </c>
      <c r="D3075" t="str">
        <f>HYPERLINK("https://streetviewpixels-pa.googleapis.com/v1/thumbnail?panoid=Uu6A4i-CkSC_2dBXnW-rkw&amp;cb_client=search.gws-prod.gps&amp;w=408&amp;h=240&amp;yaw=1.2870195&amp;pitch=0&amp;thumbfov=100", "link")</f>
        <v>link</v>
      </c>
    </row>
    <row r="3076" spans="1:4" x14ac:dyDescent="0.45">
      <c r="A3076" t="s">
        <v>3078</v>
      </c>
      <c r="B3076">
        <v>33.985734600000001</v>
      </c>
      <c r="C3076">
        <v>-118.44677919999999</v>
      </c>
      <c r="D3076" t="str">
        <f>HYPERLINK("https://streetviewpixels-pa.googleapis.com/v1/thumbnail?panoid=1U0cbSpvjez6VSP62Vd02A&amp;cb_client=search.gws-prod.gps&amp;w=408&amp;h=240&amp;yaw=159.4367&amp;pitch=0&amp;thumbfov=100", "link")</f>
        <v>link</v>
      </c>
    </row>
    <row r="3077" spans="1:4" x14ac:dyDescent="0.45">
      <c r="A3077" t="s">
        <v>3079</v>
      </c>
      <c r="B3077">
        <v>33.968375600000002</v>
      </c>
      <c r="C3077">
        <v>-118.4539887</v>
      </c>
      <c r="D3077" t="s">
        <v>5</v>
      </c>
    </row>
    <row r="3078" spans="1:4" x14ac:dyDescent="0.45">
      <c r="A3078" t="s">
        <v>3080</v>
      </c>
      <c r="B3078">
        <v>33.968263800000003</v>
      </c>
      <c r="C3078">
        <v>-118.4538665</v>
      </c>
      <c r="D3078" t="s">
        <v>5</v>
      </c>
    </row>
    <row r="3079" spans="1:4" x14ac:dyDescent="0.45">
      <c r="A3079" t="s">
        <v>3081</v>
      </c>
      <c r="B3079">
        <v>33.972983599999999</v>
      </c>
      <c r="C3079">
        <v>-118.4460639</v>
      </c>
      <c r="D3079" t="str">
        <f>HYPERLINK("https://streetviewpixels-pa.googleapis.com/v1/thumbnail?panoid=DNlv7Hb6YAalzpdNPYhNbg&amp;cb_client=search.gws-prod.gps&amp;w=408&amp;h=240&amp;yaw=286.03735&amp;pitch=0&amp;thumbfov=100", "link")</f>
        <v>link</v>
      </c>
    </row>
    <row r="3080" spans="1:4" x14ac:dyDescent="0.45">
      <c r="A3080" t="s">
        <v>3082</v>
      </c>
      <c r="B3080">
        <v>33.977431500000002</v>
      </c>
      <c r="C3080">
        <v>-118.4439649</v>
      </c>
      <c r="D3080" t="s">
        <v>5</v>
      </c>
    </row>
    <row r="3081" spans="1:4" x14ac:dyDescent="0.45">
      <c r="A3081" t="s">
        <v>3083</v>
      </c>
      <c r="B3081">
        <v>33.973049199999998</v>
      </c>
      <c r="C3081">
        <v>-118.4459593</v>
      </c>
      <c r="D3081" t="str">
        <f>HYPERLINK("https://streetviewpixels-pa.googleapis.com/v1/thumbnail?panoid=DNlv7Hb6YAalzpdNPYhNbg&amp;cb_client=search.gws-prod.gps&amp;w=408&amp;h=240&amp;yaw=286.03735&amp;pitch=0&amp;thumbfov=100", "link")</f>
        <v>link</v>
      </c>
    </row>
    <row r="3082" spans="1:4" x14ac:dyDescent="0.45">
      <c r="A3082" t="s">
        <v>3084</v>
      </c>
      <c r="B3082">
        <v>33.986407200000002</v>
      </c>
      <c r="C3082">
        <v>-118.4462661</v>
      </c>
      <c r="D3082" t="str">
        <f>HYPERLINK("https://streetviewpixels-pa.googleapis.com/v1/thumbnail?panoid=1I8Qs_dZHq9mqfFYMDFU-Q&amp;cb_client=search.gws-prod.gps&amp;w=408&amp;h=240&amp;yaw=328.94168&amp;pitch=0&amp;thumbfov=100", "link")</f>
        <v>link</v>
      </c>
    </row>
    <row r="3083" spans="1:4" x14ac:dyDescent="0.45">
      <c r="A3083" t="s">
        <v>3085</v>
      </c>
      <c r="B3083">
        <v>33.973648300000001</v>
      </c>
      <c r="C3083">
        <v>-118.4449724</v>
      </c>
      <c r="D3083" t="s">
        <v>5</v>
      </c>
    </row>
    <row r="3084" spans="1:4" x14ac:dyDescent="0.45">
      <c r="A3084" t="s">
        <v>3086</v>
      </c>
      <c r="B3084">
        <v>33.9863383</v>
      </c>
      <c r="C3084">
        <v>-118.44594859999999</v>
      </c>
      <c r="D3084" t="str">
        <f>HYPERLINK("https://streetviewpixels-pa.googleapis.com/v1/thumbnail?panoid=b2bsxra7210dejREZf8heA&amp;cb_client=search.gws-prod.gps&amp;w=408&amp;h=240&amp;yaw=305.32336&amp;pitch=0&amp;thumbfov=100", "link")</f>
        <v>link</v>
      </c>
    </row>
    <row r="3085" spans="1:4" x14ac:dyDescent="0.45">
      <c r="A3085" t="s">
        <v>3087</v>
      </c>
      <c r="B3085">
        <v>33.977009799999998</v>
      </c>
      <c r="C3085">
        <v>-118.4410819</v>
      </c>
      <c r="D3085" t="str">
        <f>HYPERLINK("https://streetviewpixels-pa.googleapis.com/v1/thumbnail?panoid=qWWKeSLGDH8i5uHN3WSDMw&amp;cb_client=search.gws-prod.gps&amp;w=408&amp;h=240&amp;yaw=301.815&amp;pitch=0&amp;thumbfov=100", "link")</f>
        <v>link</v>
      </c>
    </row>
    <row r="3086" spans="1:4" x14ac:dyDescent="0.45">
      <c r="A3086" t="s">
        <v>3088</v>
      </c>
      <c r="B3086">
        <v>33.976477500000001</v>
      </c>
      <c r="C3086">
        <v>-118.4409541</v>
      </c>
      <c r="D3086" t="str">
        <f>HYPERLINK("https://lh5.googleusercontent.com/p/AF1QipPZrRt01amodUeYXgVAWgL1euFBaP0FcvATwWVj=w408-h306-k-no", "link")</f>
        <v>link</v>
      </c>
    </row>
    <row r="3087" spans="1:4" x14ac:dyDescent="0.45">
      <c r="A3087" t="s">
        <v>3089</v>
      </c>
      <c r="B3087">
        <v>33.976323800000003</v>
      </c>
      <c r="C3087">
        <v>-118.4416834</v>
      </c>
      <c r="D3087" t="s">
        <v>5</v>
      </c>
    </row>
    <row r="3088" spans="1:4" x14ac:dyDescent="0.45">
      <c r="A3088" t="s">
        <v>3090</v>
      </c>
      <c r="B3088">
        <v>33.978856200000003</v>
      </c>
      <c r="C3088">
        <v>-118.43587410000001</v>
      </c>
      <c r="D3088" t="str">
        <f>HYPERLINK("https://streetviewpixels-pa.googleapis.com/v1/thumbnail?panoid=9c78_EiLBO8B905bUQhRCw&amp;cb_client=search.gws-prod.gps&amp;w=408&amp;h=240&amp;yaw=97.45582&amp;pitch=0&amp;thumbfov=100", "link")</f>
        <v>link</v>
      </c>
    </row>
    <row r="3089" spans="1:4" x14ac:dyDescent="0.45">
      <c r="A3089" t="s">
        <v>3091</v>
      </c>
      <c r="B3089">
        <v>33.978943000000001</v>
      </c>
      <c r="C3089">
        <v>-118.4357509</v>
      </c>
      <c r="D3089" t="str">
        <f>HYPERLINK("https://streetviewpixels-pa.googleapis.com/v1/thumbnail?panoid=9c78_EiLBO8B905bUQhRCw&amp;cb_client=search.gws-prod.gps&amp;w=408&amp;h=240&amp;yaw=97.45582&amp;pitch=0&amp;thumbfov=100", "link")</f>
        <v>link</v>
      </c>
    </row>
    <row r="3090" spans="1:4" x14ac:dyDescent="0.45">
      <c r="A3090" t="s">
        <v>3092</v>
      </c>
      <c r="B3090">
        <v>33.9875367</v>
      </c>
      <c r="C3090">
        <v>-118.4375299</v>
      </c>
      <c r="D3090" t="str">
        <f>HYPERLINK("https://streetviewpixels-pa.googleapis.com/v1/thumbnail?panoid=WorXapFKqTH72yCcLCXpHA&amp;cb_client=search.gws-prod.gps&amp;w=408&amp;h=240&amp;yaw=265.76157&amp;pitch=0&amp;thumbfov=100", "link")</f>
        <v>link</v>
      </c>
    </row>
    <row r="3091" spans="1:4" x14ac:dyDescent="0.45">
      <c r="A3091" t="s">
        <v>3093</v>
      </c>
      <c r="B3091">
        <v>33.975314399999903</v>
      </c>
      <c r="C3091">
        <v>-118.44376269999999</v>
      </c>
      <c r="D3091" t="str">
        <f>HYPERLINK("https://streetviewpixels-pa.googleapis.com/v1/thumbnail?panoid=AhDMm1iLmPIxXBDUBxvXiQ&amp;cb_client=search.gws-prod.gps&amp;w=408&amp;h=240&amp;yaw=310.3026&amp;pitch=0&amp;thumbfov=100", "link")</f>
        <v>link</v>
      </c>
    </row>
    <row r="3092" spans="1:4" x14ac:dyDescent="0.45">
      <c r="A3092" t="s">
        <v>3094</v>
      </c>
      <c r="B3092">
        <v>33.988824000000001</v>
      </c>
      <c r="C3092">
        <v>-118.4345442</v>
      </c>
      <c r="D3092" t="s">
        <v>5</v>
      </c>
    </row>
    <row r="3093" spans="1:4" x14ac:dyDescent="0.45">
      <c r="A3093" t="s">
        <v>3095</v>
      </c>
      <c r="B3093">
        <v>33.992552500000002</v>
      </c>
      <c r="C3093">
        <v>-118.4440343</v>
      </c>
      <c r="D3093" t="str">
        <f>HYPERLINK("https://streetviewpixels-pa.googleapis.com/v1/thumbnail?panoid=8MtiwO6luSDg5rZnrv9daQ&amp;cb_client=search.gws-prod.gps&amp;w=408&amp;h=240&amp;yaw=331.53986&amp;pitch=0&amp;thumbfov=100", "link")</f>
        <v>link</v>
      </c>
    </row>
    <row r="3094" spans="1:4" x14ac:dyDescent="0.45">
      <c r="A3094" t="s">
        <v>3096</v>
      </c>
      <c r="B3094">
        <v>33.982406599999898</v>
      </c>
      <c r="C3094">
        <v>-118.44247609999999</v>
      </c>
      <c r="D3094" t="str">
        <f>HYPERLINK("https://lh5.googleusercontent.com/p/AF1QipMybKsEIL_4MTfuXq0n8AOetejdcoc8gt3lXSlm=w408-h306-k-no", "link")</f>
        <v>link</v>
      </c>
    </row>
    <row r="3095" spans="1:4" x14ac:dyDescent="0.45">
      <c r="A3095" t="s">
        <v>3097</v>
      </c>
      <c r="B3095">
        <v>33.982801299999998</v>
      </c>
      <c r="C3095">
        <v>-118.4433396</v>
      </c>
      <c r="D3095" t="str">
        <f>HYPERLINK("https://streetviewpixels-pa.googleapis.com/v1/thumbnail?panoid=jYhNF60oSpOuvnnWN14wtQ&amp;cb_client=search.gws-prod.gps&amp;w=408&amp;h=240&amp;yaw=176.38017&amp;pitch=0&amp;thumbfov=100", "link")</f>
        <v>link</v>
      </c>
    </row>
    <row r="3096" spans="1:4" x14ac:dyDescent="0.45">
      <c r="A3096" t="s">
        <v>3098</v>
      </c>
      <c r="B3096">
        <v>33.983360699999899</v>
      </c>
      <c r="C3096">
        <v>-118.4424451</v>
      </c>
      <c r="D3096" t="s">
        <v>5</v>
      </c>
    </row>
    <row r="3097" spans="1:4" x14ac:dyDescent="0.45">
      <c r="A3097" t="s">
        <v>3099</v>
      </c>
      <c r="B3097">
        <v>33.982963699999999</v>
      </c>
      <c r="C3097">
        <v>-118.4435891</v>
      </c>
      <c r="D3097" t="str">
        <f>HYPERLINK("https://streetviewpixels-pa.googleapis.com/v1/thumbnail?panoid=aBP7gewPXiDoDmapZG8nQQ&amp;cb_client=search.gws-prod.gps&amp;w=408&amp;h=240&amp;yaw=16.068237&amp;pitch=0&amp;thumbfov=100", "link")</f>
        <v>link</v>
      </c>
    </row>
    <row r="3098" spans="1:4" x14ac:dyDescent="0.45">
      <c r="A3098" t="s">
        <v>3100</v>
      </c>
      <c r="B3098">
        <v>33.983701000000003</v>
      </c>
      <c r="C3098">
        <v>-118.4426047</v>
      </c>
      <c r="D3098" t="str">
        <f>HYPERLINK("https://streetviewpixels-pa.googleapis.com/v1/thumbnail?panoid=h1Cow0RcRxSnE5zpAwYkIg&amp;cb_client=search.gws-prod.gps&amp;w=408&amp;h=240&amp;yaw=255.30168&amp;pitch=0&amp;thumbfov=100", "link")</f>
        <v>link</v>
      </c>
    </row>
    <row r="3099" spans="1:4" x14ac:dyDescent="0.45">
      <c r="A3099" t="s">
        <v>3101</v>
      </c>
      <c r="B3099">
        <v>33.9816425</v>
      </c>
      <c r="C3099">
        <v>-118.4409761</v>
      </c>
      <c r="D3099" t="str">
        <f>HYPERLINK("https://streetviewpixels-pa.googleapis.com/v1/thumbnail?panoid=u7o6BWZNl8rI0mqStcdY1Q&amp;cb_client=search.gws-prod.gps&amp;w=408&amp;h=240&amp;yaw=248.90555&amp;pitch=0&amp;thumbfov=100", "link")</f>
        <v>link</v>
      </c>
    </row>
    <row r="3100" spans="1:4" x14ac:dyDescent="0.45">
      <c r="A3100" t="s">
        <v>3102</v>
      </c>
      <c r="B3100">
        <v>33.981725500000003</v>
      </c>
      <c r="C3100">
        <v>-118.44072509999999</v>
      </c>
      <c r="D3100" t="s">
        <v>5</v>
      </c>
    </row>
    <row r="3101" spans="1:4" x14ac:dyDescent="0.45">
      <c r="A3101" t="s">
        <v>3103</v>
      </c>
      <c r="B3101">
        <v>33.984283400000002</v>
      </c>
      <c r="C3101">
        <v>-118.4432616</v>
      </c>
      <c r="D3101" t="str">
        <f>HYPERLINK("https://streetviewpixels-pa.googleapis.com/v1/thumbnail?panoid=TjomUW-KvhWDy7q4WqpF7g&amp;cb_client=search.gws-prod.gps&amp;w=408&amp;h=240&amp;yaw=127.08175&amp;pitch=0&amp;thumbfov=100", "link")</f>
        <v>link</v>
      </c>
    </row>
    <row r="3102" spans="1:4" x14ac:dyDescent="0.45">
      <c r="A3102" t="s">
        <v>3104</v>
      </c>
      <c r="B3102">
        <v>33.9808223</v>
      </c>
      <c r="C3102">
        <v>-118.44012379999999</v>
      </c>
      <c r="D3102" t="str">
        <f>HYPERLINK("https://lh5.googleusercontent.com/p/AF1QipNYK2drYGPfK3a2U-k3ct3lcdEcjOCagTQvcD0v=w408-h544-k-no", "link")</f>
        <v>link</v>
      </c>
    </row>
    <row r="3103" spans="1:4" x14ac:dyDescent="0.45">
      <c r="A3103" t="s">
        <v>3105</v>
      </c>
      <c r="B3103">
        <v>33.982144900000002</v>
      </c>
      <c r="C3103">
        <v>-118.43922619999999</v>
      </c>
      <c r="D3103" t="s">
        <v>5</v>
      </c>
    </row>
    <row r="3104" spans="1:4" x14ac:dyDescent="0.45">
      <c r="A3104" t="s">
        <v>3106</v>
      </c>
      <c r="B3104">
        <v>33.9805609</v>
      </c>
      <c r="C3104">
        <v>-118.4396907</v>
      </c>
      <c r="D3104" t="str">
        <f>HYPERLINK("https://streetviewpixels-pa.googleapis.com/v1/thumbnail?panoid=3D7LbA645A97DIRoFb8Vuw&amp;cb_client=search.gws-prod.gps&amp;w=408&amp;h=240&amp;yaw=247.76865&amp;pitch=0&amp;thumbfov=100", "link")</f>
        <v>link</v>
      </c>
    </row>
    <row r="3105" spans="1:4" x14ac:dyDescent="0.45">
      <c r="A3105" t="s">
        <v>3107</v>
      </c>
      <c r="B3105">
        <v>33.985940800000002</v>
      </c>
      <c r="C3105">
        <v>-118.4417102</v>
      </c>
      <c r="D3105" t="str">
        <f>HYPERLINK("https://streetviewpixels-pa.googleapis.com/v1/thumbnail?panoid=9BpNlnX8IbN49EBXZ9Cokg&amp;cb_client=search.gws-prod.gps&amp;w=408&amp;h=240&amp;yaw=153.46625&amp;pitch=0&amp;thumbfov=100", "link")</f>
        <v>link</v>
      </c>
    </row>
    <row r="3106" spans="1:4" x14ac:dyDescent="0.45">
      <c r="A3106" t="s">
        <v>3108</v>
      </c>
      <c r="B3106">
        <v>33.978850399999899</v>
      </c>
      <c r="C3106">
        <v>-118.44141260000001</v>
      </c>
      <c r="D3106" t="str">
        <f>HYPERLINK("https://lh5.googleusercontent.com/p/AF1QipPEu-4yw2SbPQ96BEDAHyZHeDslNnasMVhWtupe=w408-h306-k-no", "link")</f>
        <v>link</v>
      </c>
    </row>
    <row r="3107" spans="1:4" x14ac:dyDescent="0.45">
      <c r="A3107" t="s">
        <v>3109</v>
      </c>
      <c r="B3107">
        <v>33.980460999999998</v>
      </c>
      <c r="C3107">
        <v>-118.43816169999999</v>
      </c>
      <c r="D3107" t="s">
        <v>5</v>
      </c>
    </row>
    <row r="3108" spans="1:4" x14ac:dyDescent="0.45">
      <c r="A3108" t="s">
        <v>3110</v>
      </c>
      <c r="B3108">
        <v>33.979205800000003</v>
      </c>
      <c r="C3108">
        <v>-118.43912469999999</v>
      </c>
      <c r="D3108" t="s">
        <v>5</v>
      </c>
    </row>
    <row r="3109" spans="1:4" x14ac:dyDescent="0.45">
      <c r="A3109" t="s">
        <v>3111</v>
      </c>
      <c r="B3109">
        <v>33.977934900000001</v>
      </c>
      <c r="C3109">
        <v>-118.4432348</v>
      </c>
      <c r="D3109" t="s">
        <v>5</v>
      </c>
    </row>
    <row r="3110" spans="1:4" x14ac:dyDescent="0.45">
      <c r="A3110" t="s">
        <v>3112</v>
      </c>
      <c r="B3110">
        <v>33.978176499999996</v>
      </c>
      <c r="C3110">
        <v>-118.4400406</v>
      </c>
      <c r="D3110" t="s">
        <v>5</v>
      </c>
    </row>
    <row r="3111" spans="1:4" x14ac:dyDescent="0.45">
      <c r="A3111" t="s">
        <v>3113</v>
      </c>
      <c r="B3111">
        <v>33.971548200000001</v>
      </c>
      <c r="C3111">
        <v>-118.44593190000001</v>
      </c>
      <c r="D3111" t="str">
        <f>HYPERLINK("https://streetviewpixels-pa.googleapis.com/v1/thumbnail?panoid=cImkrS6Uyb6Manb-2u4aIA&amp;cb_client=search.gws-prod.gps&amp;w=408&amp;h=240&amp;yaw=261.23352&amp;pitch=0&amp;thumbfov=100", "link")</f>
        <v>link</v>
      </c>
    </row>
    <row r="3112" spans="1:4" x14ac:dyDescent="0.45">
      <c r="A3112" t="s">
        <v>3114</v>
      </c>
      <c r="B3112">
        <v>33.970343199999903</v>
      </c>
      <c r="C3112">
        <v>-118.44542509999999</v>
      </c>
      <c r="D3112" t="s">
        <v>5</v>
      </c>
    </row>
    <row r="3113" spans="1:4" x14ac:dyDescent="0.45">
      <c r="A3113" t="s">
        <v>3115</v>
      </c>
      <c r="B3113">
        <v>33.9933914</v>
      </c>
      <c r="C3113">
        <v>-118.4534548</v>
      </c>
      <c r="D3113" t="str">
        <f>HYPERLINK("https://streetviewpixels-pa.googleapis.com/v1/thumbnail?panoid=NcvvvNq0ZPzOTtM7pKgegQ&amp;cb_client=search.gws-prod.gps&amp;w=408&amp;h=240&amp;yaw=157.2682&amp;pitch=0&amp;thumbfov=100", "link")</f>
        <v>link</v>
      </c>
    </row>
    <row r="3114" spans="1:4" x14ac:dyDescent="0.45">
      <c r="A3114" t="s">
        <v>3116</v>
      </c>
      <c r="B3114">
        <v>33.992390100000001</v>
      </c>
      <c r="C3114">
        <v>-118.44628</v>
      </c>
      <c r="D3114" t="str">
        <f>HYPERLINK("https://streetviewpixels-pa.googleapis.com/v1/thumbnail?panoid=t3ePiRS_j31X2zEHl590Hg&amp;cb_client=search.gws-prod.gps&amp;w=408&amp;h=240&amp;yaw=92.13825&amp;pitch=0&amp;thumbfov=100", "link")</f>
        <v>link</v>
      </c>
    </row>
    <row r="3115" spans="1:4" x14ac:dyDescent="0.45">
      <c r="A3115" t="s">
        <v>3117</v>
      </c>
      <c r="B3115">
        <v>33.990665499999999</v>
      </c>
      <c r="C3115">
        <v>-118.4665423</v>
      </c>
      <c r="D3115" t="str">
        <f>HYPERLINK("https://streetviewpixels-pa.googleapis.com/v1/thumbnail?panoid=chKVGGOiKhWdTzVLf9fnuQ&amp;cb_client=search.gws-prod.gps&amp;w=408&amp;h=240&amp;yaw=181.38205&amp;pitch=0&amp;thumbfov=100", "link")</f>
        <v>link</v>
      </c>
    </row>
    <row r="3116" spans="1:4" x14ac:dyDescent="0.45">
      <c r="A3116" t="s">
        <v>3118</v>
      </c>
      <c r="B3116">
        <v>33.9662522</v>
      </c>
      <c r="C3116">
        <v>-118.4548375</v>
      </c>
      <c r="D3116" t="s">
        <v>5</v>
      </c>
    </row>
    <row r="3117" spans="1:4" x14ac:dyDescent="0.45">
      <c r="A3117" t="s">
        <v>3119</v>
      </c>
      <c r="B3117">
        <v>33.9659738</v>
      </c>
      <c r="C3117">
        <v>-118.4552582</v>
      </c>
      <c r="D3117" t="s">
        <v>5</v>
      </c>
    </row>
    <row r="3118" spans="1:4" x14ac:dyDescent="0.45">
      <c r="A3118" t="s">
        <v>3120</v>
      </c>
      <c r="B3118">
        <v>33.972973000000003</v>
      </c>
      <c r="C3118">
        <v>-118.43036600000001</v>
      </c>
      <c r="D3118" t="str">
        <f>HYPERLINK("https://lh5.googleusercontent.com/p/AF1QipMsd0Ur2byIQt-8E3yf1rvle_X5iK2EL8CsNNWg=w408-h306-k-no", "link")</f>
        <v>link</v>
      </c>
    </row>
    <row r="3119" spans="1:4" x14ac:dyDescent="0.45">
      <c r="A3119" t="s">
        <v>3121</v>
      </c>
      <c r="B3119">
        <v>33.9569507</v>
      </c>
      <c r="C3119">
        <v>-118.44346299999999</v>
      </c>
      <c r="D3119" t="s">
        <v>5</v>
      </c>
    </row>
    <row r="3120" spans="1:4" x14ac:dyDescent="0.45">
      <c r="A3120" t="s">
        <v>3122</v>
      </c>
      <c r="B3120">
        <v>33.956854399999997</v>
      </c>
      <c r="C3120">
        <v>-118.443411</v>
      </c>
      <c r="D3120" t="s">
        <v>5</v>
      </c>
    </row>
    <row r="3121" spans="1:4" x14ac:dyDescent="0.45">
      <c r="A3121" t="s">
        <v>3123</v>
      </c>
      <c r="B3121">
        <v>33.9566631</v>
      </c>
      <c r="C3121">
        <v>-118.44238110000001</v>
      </c>
      <c r="D3121" t="str">
        <f>HYPERLINK("https://streetviewpixels-pa.googleapis.com/v1/thumbnail?panoid=5svFPbI081YJwXk9bLNTjw&amp;cb_client=search.gws-prod.gps&amp;w=408&amp;h=240&amp;yaw=80.27261&amp;pitch=0&amp;thumbfov=100", "link")</f>
        <v>link</v>
      </c>
    </row>
    <row r="3122" spans="1:4" x14ac:dyDescent="0.45">
      <c r="A3122" t="s">
        <v>3124</v>
      </c>
      <c r="B3122">
        <v>33.9619176</v>
      </c>
      <c r="C3122">
        <v>-118.4373362</v>
      </c>
      <c r="D3122" t="s">
        <v>5</v>
      </c>
    </row>
    <row r="3123" spans="1:4" x14ac:dyDescent="0.45">
      <c r="A3123" t="s">
        <v>3125</v>
      </c>
      <c r="B3123">
        <v>33.962536700000001</v>
      </c>
      <c r="C3123">
        <v>-118.4534103</v>
      </c>
      <c r="D3123" t="s">
        <v>5</v>
      </c>
    </row>
    <row r="3124" spans="1:4" x14ac:dyDescent="0.45">
      <c r="A3124" t="s">
        <v>3126</v>
      </c>
      <c r="B3124">
        <v>33.960434100000001</v>
      </c>
      <c r="C3124">
        <v>-118.4515851</v>
      </c>
      <c r="D3124" t="s">
        <v>5</v>
      </c>
    </row>
    <row r="3125" spans="1:4" x14ac:dyDescent="0.45">
      <c r="A3125" t="s">
        <v>3127</v>
      </c>
      <c r="B3125">
        <v>33.959480399999997</v>
      </c>
      <c r="C3125">
        <v>-118.4498056</v>
      </c>
      <c r="D3125" t="s">
        <v>5</v>
      </c>
    </row>
    <row r="3126" spans="1:4" x14ac:dyDescent="0.45">
      <c r="A3126" t="s">
        <v>3128</v>
      </c>
      <c r="B3126">
        <v>33.958767799999897</v>
      </c>
      <c r="C3126">
        <v>-118.4480492</v>
      </c>
      <c r="D3126" t="str">
        <f>HYPERLINK("https://streetviewpixels-pa.googleapis.com/v1/thumbnail?panoid=74ma_706brbN-CO1Qv0owA&amp;cb_client=search.gws-prod.gps&amp;w=408&amp;h=240&amp;yaw=141.0536&amp;pitch=0&amp;thumbfov=100", "link")</f>
        <v>link</v>
      </c>
    </row>
    <row r="3127" spans="1:4" x14ac:dyDescent="0.45">
      <c r="A3127" t="s">
        <v>3129</v>
      </c>
      <c r="B3127">
        <v>33.993329899999999</v>
      </c>
      <c r="C3127">
        <v>-118.4427793</v>
      </c>
      <c r="D3127" t="str">
        <f>HYPERLINK("https://streetviewpixels-pa.googleapis.com/v1/thumbnail?panoid=Fe0xY-LwuFRbn62REnxqlw&amp;cb_client=search.gws-prod.gps&amp;w=408&amp;h=240&amp;yaw=224.86037&amp;pitch=0&amp;thumbfov=100", "link")</f>
        <v>link</v>
      </c>
    </row>
    <row r="3128" spans="1:4" x14ac:dyDescent="0.45">
      <c r="A3128" t="s">
        <v>3130</v>
      </c>
      <c r="B3128">
        <v>33.995180400000002</v>
      </c>
      <c r="C3128">
        <v>-118.43780460000001</v>
      </c>
      <c r="D3128" t="s">
        <v>5</v>
      </c>
    </row>
    <row r="3129" spans="1:4" x14ac:dyDescent="0.45">
      <c r="A3129" t="s">
        <v>3131</v>
      </c>
      <c r="B3129">
        <v>33.995555799999998</v>
      </c>
      <c r="C3129">
        <v>-118.4444901</v>
      </c>
      <c r="D3129" t="str">
        <f>HYPERLINK("https://streetviewpixels-pa.googleapis.com/v1/thumbnail?panoid=AcOLpSFm9oqjDhqCAujLlw&amp;cb_client=search.gws-prod.gps&amp;w=408&amp;h=240&amp;yaw=80.82776&amp;pitch=0&amp;thumbfov=100", "link")</f>
        <v>link</v>
      </c>
    </row>
    <row r="3130" spans="1:4" x14ac:dyDescent="0.45">
      <c r="A3130" t="s">
        <v>3132</v>
      </c>
      <c r="B3130">
        <v>33.9937307</v>
      </c>
      <c r="C3130">
        <v>-118.4343365</v>
      </c>
      <c r="D3130" t="s">
        <v>5</v>
      </c>
    </row>
    <row r="3131" spans="1:4" x14ac:dyDescent="0.45">
      <c r="A3131" t="s">
        <v>3133</v>
      </c>
      <c r="B3131">
        <v>33.982320600000001</v>
      </c>
      <c r="C3131">
        <v>-118.4267155</v>
      </c>
      <c r="D3131" t="s">
        <v>5</v>
      </c>
    </row>
    <row r="3132" spans="1:4" x14ac:dyDescent="0.45">
      <c r="A3132" t="s">
        <v>3134</v>
      </c>
      <c r="B3132">
        <v>33.982034900000002</v>
      </c>
      <c r="C3132">
        <v>-118.4262592</v>
      </c>
      <c r="D3132" t="s">
        <v>5</v>
      </c>
    </row>
    <row r="3133" spans="1:4" x14ac:dyDescent="0.45">
      <c r="A3133" t="s">
        <v>3135</v>
      </c>
      <c r="B3133">
        <v>34.036274400000003</v>
      </c>
      <c r="C3133">
        <v>-118.2258901</v>
      </c>
      <c r="D3133" t="s">
        <v>5</v>
      </c>
    </row>
    <row r="3134" spans="1:4" x14ac:dyDescent="0.45">
      <c r="A3134" t="s">
        <v>3136</v>
      </c>
      <c r="B3134">
        <v>34.032843399999997</v>
      </c>
      <c r="C3134">
        <v>-118.23199870000001</v>
      </c>
      <c r="D3134" t="str">
        <f>HYPERLINK("https://streetviewpixels-pa.googleapis.com/v1/thumbnail?panoid=VjlND6mNmTu_LP_xf6vq_w&amp;cb_client=search.gws-prod.gps&amp;w=408&amp;h=240&amp;yaw=310.99014&amp;pitch=0&amp;thumbfov=100", "link")</f>
        <v>link</v>
      </c>
    </row>
    <row r="3135" spans="1:4" x14ac:dyDescent="0.45">
      <c r="A3135" t="s">
        <v>3137</v>
      </c>
      <c r="B3135">
        <v>34.041361199999997</v>
      </c>
      <c r="C3135">
        <v>-118.2054069</v>
      </c>
      <c r="D3135" t="str">
        <f>HYPERLINK("https://streetviewpixels-pa.googleapis.com/v1/thumbnail?panoid=uKafZ6O4AIgJ2zT6XiCmUg&amp;cb_client=search.gws-prod.gps&amp;w=408&amp;h=240&amp;yaw=216.56125&amp;pitch=0&amp;thumbfov=100", "link")</f>
        <v>link</v>
      </c>
    </row>
    <row r="3136" spans="1:4" x14ac:dyDescent="0.45">
      <c r="A3136" t="s">
        <v>3138</v>
      </c>
      <c r="B3136">
        <v>34.025106699999903</v>
      </c>
      <c r="C3136">
        <v>-118.2398524</v>
      </c>
      <c r="D3136" t="str">
        <f>HYPERLINK("https://streetviewpixels-pa.googleapis.com/v1/thumbnail?panoid=iFnempSVUtoQOItLnKjnPg&amp;cb_client=search.gws-prod.gps&amp;w=408&amp;h=240&amp;yaw=134.28352&amp;pitch=0&amp;thumbfov=100", "link")</f>
        <v>link</v>
      </c>
    </row>
    <row r="3137" spans="1:4" x14ac:dyDescent="0.45">
      <c r="A3137" t="s">
        <v>3139</v>
      </c>
      <c r="B3137">
        <v>34.040278000000001</v>
      </c>
      <c r="C3137">
        <v>-118.1921785</v>
      </c>
      <c r="D3137" t="str">
        <f>HYPERLINK("https://streetviewpixels-pa.googleapis.com/v1/thumbnail?panoid=jXGhCiuew0U4D3teOcfTdg&amp;cb_client=search.gws-prod.gps&amp;w=408&amp;h=240&amp;yaw=170.19112&amp;pitch=0&amp;thumbfov=100", "link")</f>
        <v>link</v>
      </c>
    </row>
    <row r="3138" spans="1:4" x14ac:dyDescent="0.45">
      <c r="A3138" t="s">
        <v>3140</v>
      </c>
      <c r="B3138">
        <v>34.026943799999898</v>
      </c>
      <c r="C3138">
        <v>-118.2395511</v>
      </c>
      <c r="D3138" t="str">
        <f>HYPERLINK("https://streetviewpixels-pa.googleapis.com/v1/thumbnail?panoid=UhUBT0uixPIm_JGrppHtHA&amp;cb_client=search.gws-prod.gps&amp;w=408&amp;h=240&amp;yaw=273.0982&amp;pitch=0&amp;thumbfov=100", "link")</f>
        <v>link</v>
      </c>
    </row>
    <row r="3139" spans="1:4" x14ac:dyDescent="0.45">
      <c r="A3139" t="s">
        <v>3141</v>
      </c>
      <c r="B3139">
        <v>34.041016300000003</v>
      </c>
      <c r="C3139">
        <v>-118.2164827</v>
      </c>
      <c r="D3139" t="str">
        <f>HYPERLINK("https://lh5.googleusercontent.com/p/AF1QipPM-u9hGw6xZUYVEWdr6tiXh8ybs1sYtR77Aeo=w413-h240-k-no", "link")</f>
        <v>link</v>
      </c>
    </row>
    <row r="3140" spans="1:4" x14ac:dyDescent="0.45">
      <c r="A3140" t="s">
        <v>3142</v>
      </c>
      <c r="B3140">
        <v>34.034272099999903</v>
      </c>
      <c r="C3140">
        <v>-118.2327645</v>
      </c>
      <c r="D3140" t="str">
        <f>HYPERLINK("https://streetviewpixels-pa.googleapis.com/v1/thumbnail?panoid=faxAJ-jVQgM4BZJ6DvPXzg&amp;cb_client=search.gws-prod.gps&amp;w=408&amp;h=240&amp;yaw=185.89893&amp;pitch=0&amp;thumbfov=100", "link")</f>
        <v>link</v>
      </c>
    </row>
    <row r="3141" spans="1:4" x14ac:dyDescent="0.45">
      <c r="A3141" t="s">
        <v>3143</v>
      </c>
      <c r="B3141">
        <v>34.024610199999998</v>
      </c>
      <c r="C3141">
        <v>-118.24266489999999</v>
      </c>
      <c r="D3141" t="str">
        <f>HYPERLINK("https://streetviewpixels-pa.googleapis.com/v1/thumbnail?panoid=McUr5d2Zcs8xJeOJbgbc5g&amp;cb_client=search.gws-prod.gps&amp;w=408&amp;h=240&amp;yaw=16.322592&amp;pitch=0&amp;thumbfov=100", "link")</f>
        <v>link</v>
      </c>
    </row>
    <row r="3142" spans="1:4" x14ac:dyDescent="0.45">
      <c r="A3142" t="s">
        <v>3144</v>
      </c>
      <c r="B3142">
        <v>34.0359889</v>
      </c>
      <c r="C3142">
        <v>-118.2321209</v>
      </c>
      <c r="D3142" t="str">
        <f>HYPERLINK("https://streetviewpixels-pa.googleapis.com/v1/thumbnail?panoid=IJpINuCd2AezNACvUVP9sQ&amp;cb_client=search.gws-prod.gps&amp;w=408&amp;h=240&amp;yaw=35.745396&amp;pitch=0&amp;thumbfov=100", "link")</f>
        <v>link</v>
      </c>
    </row>
    <row r="3143" spans="1:4" x14ac:dyDescent="0.45">
      <c r="A3143" t="s">
        <v>3145</v>
      </c>
      <c r="B3143">
        <v>34.034410299999998</v>
      </c>
      <c r="C3143">
        <v>-118.2346624</v>
      </c>
      <c r="D3143" t="s">
        <v>5</v>
      </c>
    </row>
    <row r="3144" spans="1:4" x14ac:dyDescent="0.45">
      <c r="A3144" t="s">
        <v>3146</v>
      </c>
      <c r="B3144">
        <v>34.027886600000002</v>
      </c>
      <c r="C3144">
        <v>-118.2417536</v>
      </c>
      <c r="D3144" t="str">
        <f>HYPERLINK("https://streetviewpixels-pa.googleapis.com/v1/thumbnail?panoid=_vzaoZn5jXS-o-ycmBh0nw&amp;cb_client=search.gws-prod.gps&amp;w=408&amp;h=240&amp;yaw=135.93445&amp;pitch=0&amp;thumbfov=100", "link")</f>
        <v>link</v>
      </c>
    </row>
    <row r="3145" spans="1:4" x14ac:dyDescent="0.45">
      <c r="A3145" t="s">
        <v>3147</v>
      </c>
      <c r="B3145">
        <v>34.008246900000003</v>
      </c>
      <c r="C3145">
        <v>-118.2054578</v>
      </c>
      <c r="D3145" t="str">
        <f>HYPERLINK("https://streetviewpixels-pa.googleapis.com/v1/thumbnail?panoid=QMD6xU16P0jH_UNQho8uiw&amp;cb_client=search.gws-prod.gps&amp;w=408&amp;h=240&amp;yaw=306.12872&amp;pitch=0&amp;thumbfov=100", "link")</f>
        <v>link</v>
      </c>
    </row>
    <row r="3146" spans="1:4" x14ac:dyDescent="0.45">
      <c r="A3146" t="s">
        <v>3148</v>
      </c>
      <c r="B3146">
        <v>34.027244799999998</v>
      </c>
      <c r="C3146">
        <v>-118.19861109999999</v>
      </c>
      <c r="D3146" t="s">
        <v>5</v>
      </c>
    </row>
    <row r="3147" spans="1:4" x14ac:dyDescent="0.45">
      <c r="A3147" t="s">
        <v>3149</v>
      </c>
      <c r="B3147">
        <v>34.019746300000001</v>
      </c>
      <c r="C3147">
        <v>-118.2319668</v>
      </c>
      <c r="D3147" t="s">
        <v>5</v>
      </c>
    </row>
    <row r="3148" spans="1:4" x14ac:dyDescent="0.45">
      <c r="A3148" t="s">
        <v>3150</v>
      </c>
      <c r="B3148">
        <v>34.019626600000002</v>
      </c>
      <c r="C3148">
        <v>-118.23228659999999</v>
      </c>
      <c r="D3148" t="s">
        <v>5</v>
      </c>
    </row>
    <row r="3149" spans="1:4" x14ac:dyDescent="0.45">
      <c r="A3149" t="s">
        <v>3151</v>
      </c>
      <c r="B3149">
        <v>34.034372900000001</v>
      </c>
      <c r="C3149">
        <v>-118.19184780000001</v>
      </c>
      <c r="D3149" t="s">
        <v>5</v>
      </c>
    </row>
    <row r="3150" spans="1:4" x14ac:dyDescent="0.45">
      <c r="A3150" t="s">
        <v>3152</v>
      </c>
      <c r="B3150">
        <v>34.034888299999999</v>
      </c>
      <c r="C3150">
        <v>-118.192013</v>
      </c>
      <c r="D3150" t="s">
        <v>5</v>
      </c>
    </row>
    <row r="3151" spans="1:4" x14ac:dyDescent="0.45">
      <c r="A3151" t="s">
        <v>3153</v>
      </c>
      <c r="B3151">
        <v>34.023356700000001</v>
      </c>
      <c r="C3151">
        <v>-118.235691</v>
      </c>
      <c r="D3151" t="s">
        <v>5</v>
      </c>
    </row>
    <row r="3152" spans="1:4" x14ac:dyDescent="0.45">
      <c r="A3152" t="s">
        <v>3154</v>
      </c>
      <c r="B3152">
        <v>34.036696499999998</v>
      </c>
      <c r="C3152">
        <v>-118.1948031</v>
      </c>
      <c r="D3152" t="str">
        <f>HYPERLINK("https://streetviewpixels-pa.googleapis.com/v1/thumbnail?panoid=KFSMKOcytjUs4aqhbaH2MA&amp;cb_client=search.gws-prod.gps&amp;w=408&amp;h=240&amp;yaw=208.90845&amp;pitch=0&amp;thumbfov=100", "link")</f>
        <v>link</v>
      </c>
    </row>
    <row r="3153" spans="1:4" x14ac:dyDescent="0.45">
      <c r="A3153" t="s">
        <v>3155</v>
      </c>
      <c r="B3153">
        <v>34.031860699999903</v>
      </c>
      <c r="C3153">
        <v>-118.2296635</v>
      </c>
      <c r="D3153" t="s">
        <v>5</v>
      </c>
    </row>
    <row r="3154" spans="1:4" x14ac:dyDescent="0.45">
      <c r="A3154" t="s">
        <v>3156</v>
      </c>
      <c r="B3154">
        <v>34.026479699999904</v>
      </c>
      <c r="C3154">
        <v>-118.2361551</v>
      </c>
      <c r="D3154" t="str">
        <f>HYPERLINK("https://streetviewpixels-pa.googleapis.com/v1/thumbnail?panoid=qWRBEDbEwIL6ud_6mDYI_g&amp;cb_client=search.gws-prod.gps&amp;w=408&amp;h=240&amp;yaw=296.4167&amp;pitch=0&amp;thumbfov=100", "link")</f>
        <v>link</v>
      </c>
    </row>
    <row r="3155" spans="1:4" x14ac:dyDescent="0.45">
      <c r="A3155" t="s">
        <v>3157</v>
      </c>
      <c r="B3155">
        <v>34.032416400000002</v>
      </c>
      <c r="C3155">
        <v>-118.23038</v>
      </c>
      <c r="D3155" t="str">
        <f>HYPERLINK("https://streetviewpixels-pa.googleapis.com/v1/thumbnail?panoid=JVsUQBTylPauk2xQ5WTnSg&amp;cb_client=search.gws-prod.gps&amp;w=408&amp;h=240&amp;yaw=162.28784&amp;pitch=0&amp;thumbfov=100", "link")</f>
        <v>link</v>
      </c>
    </row>
    <row r="3156" spans="1:4" x14ac:dyDescent="0.45">
      <c r="A3156" t="s">
        <v>3158</v>
      </c>
      <c r="B3156">
        <v>34.028824700000001</v>
      </c>
      <c r="C3156">
        <v>-118.2347379</v>
      </c>
      <c r="D3156" t="s">
        <v>5</v>
      </c>
    </row>
    <row r="3157" spans="1:4" x14ac:dyDescent="0.45">
      <c r="A3157" t="s">
        <v>3159</v>
      </c>
      <c r="B3157">
        <v>34.035326099999999</v>
      </c>
      <c r="C3157">
        <v>-118.2257063</v>
      </c>
      <c r="D3157" t="str">
        <f>HYPERLINK("https://streetviewpixels-pa.googleapis.com/v1/thumbnail?panoid=xVsvXjje3Sd-X0W8ALt9XA&amp;cb_client=search.gws-prod.gps&amp;w=408&amp;h=240&amp;yaw=291.2308&amp;pitch=0&amp;thumbfov=100", "link")</f>
        <v>link</v>
      </c>
    </row>
    <row r="3158" spans="1:4" x14ac:dyDescent="0.45">
      <c r="A3158" t="s">
        <v>3160</v>
      </c>
      <c r="B3158">
        <v>34.284291000000003</v>
      </c>
      <c r="C3158">
        <v>-118.435541</v>
      </c>
      <c r="D3158" t="s">
        <v>5</v>
      </c>
    </row>
    <row r="3159" spans="1:4" x14ac:dyDescent="0.45">
      <c r="A3159" t="s">
        <v>3161</v>
      </c>
      <c r="B3159">
        <v>34.284350199999999</v>
      </c>
      <c r="C3159">
        <v>-118.4354773</v>
      </c>
      <c r="D3159" t="s">
        <v>5</v>
      </c>
    </row>
    <row r="3160" spans="1:4" x14ac:dyDescent="0.45">
      <c r="A3160" t="s">
        <v>3162</v>
      </c>
      <c r="B3160">
        <v>34.279717699999999</v>
      </c>
      <c r="C3160">
        <v>-118.426452</v>
      </c>
      <c r="D3160" t="str">
        <f>HYPERLINK("https://streetviewpixels-pa.googleapis.com/v1/thumbnail?panoid=Z9odWxw6eoGwxaJSEKlp0A&amp;cb_client=search.gws-prod.gps&amp;w=408&amp;h=240&amp;yaw=75.07113&amp;pitch=0&amp;thumbfov=100", "link")</f>
        <v>link</v>
      </c>
    </row>
    <row r="3161" spans="1:4" x14ac:dyDescent="0.45">
      <c r="A3161" t="s">
        <v>3163</v>
      </c>
      <c r="B3161">
        <v>34.276451999999999</v>
      </c>
      <c r="C3161">
        <v>-118.4271631</v>
      </c>
      <c r="D3161" t="s">
        <v>5</v>
      </c>
    </row>
    <row r="3162" spans="1:4" x14ac:dyDescent="0.45">
      <c r="A3162" t="s">
        <v>3164</v>
      </c>
      <c r="B3162">
        <v>34.288236099999999</v>
      </c>
      <c r="C3162">
        <v>-118.4240071</v>
      </c>
      <c r="D3162" t="s">
        <v>5</v>
      </c>
    </row>
    <row r="3163" spans="1:4" x14ac:dyDescent="0.45">
      <c r="A3163" t="s">
        <v>3165</v>
      </c>
      <c r="B3163">
        <v>34.272328700000003</v>
      </c>
      <c r="C3163">
        <v>-118.4253885</v>
      </c>
      <c r="D3163" t="str">
        <f>HYPERLINK("https://streetviewpixels-pa.googleapis.com/v1/thumbnail?panoid=xKKjXEhVy9YMeaRkBR0KCA&amp;cb_client=search.gws-prod.gps&amp;w=408&amp;h=240&amp;yaw=175.52808&amp;pitch=0&amp;thumbfov=100", "link")</f>
        <v>link</v>
      </c>
    </row>
    <row r="3164" spans="1:4" x14ac:dyDescent="0.45">
      <c r="A3164" t="s">
        <v>3166</v>
      </c>
      <c r="B3164">
        <v>34.281531399999999</v>
      </c>
      <c r="C3164">
        <v>-118.42051429999999</v>
      </c>
      <c r="D3164" t="str">
        <f>HYPERLINK("https://streetviewpixels-pa.googleapis.com/v1/thumbnail?panoid=5SvxzQzLVJeyIHLhP03tpg&amp;cb_client=search.gws-prod.gps&amp;w=408&amp;h=240&amp;yaw=173.51822&amp;pitch=0&amp;thumbfov=100", "link")</f>
        <v>link</v>
      </c>
    </row>
    <row r="3165" spans="1:4" x14ac:dyDescent="0.45">
      <c r="A3165" t="s">
        <v>3167</v>
      </c>
      <c r="B3165">
        <v>37.255994000000001</v>
      </c>
      <c r="C3165">
        <v>-121.9773481</v>
      </c>
      <c r="D3165" t="s">
        <v>5</v>
      </c>
    </row>
    <row r="3166" spans="1:4" x14ac:dyDescent="0.45">
      <c r="A3166" t="s">
        <v>3168</v>
      </c>
      <c r="B3166">
        <v>37.244352399999897</v>
      </c>
      <c r="C3166">
        <v>-121.94813360000001</v>
      </c>
      <c r="D3166" t="str">
        <f>HYPERLINK("https://streetviewpixels-pa.googleapis.com/v1/thumbnail?panoid=qO6yzvWp0UvxI_4cP7c6kA&amp;cb_client=search.gws-prod.gps&amp;w=408&amp;h=240&amp;yaw=307.2598&amp;pitch=0&amp;thumbfov=100", "link")</f>
        <v>link</v>
      </c>
    </row>
    <row r="3167" spans="1:4" x14ac:dyDescent="0.45">
      <c r="A3167" t="s">
        <v>3169</v>
      </c>
      <c r="B3167">
        <v>37.219278699999997</v>
      </c>
      <c r="C3167">
        <v>-121.9361763</v>
      </c>
      <c r="D3167" t="str">
        <f>HYPERLINK("https://streetviewpixels-pa.googleapis.com/v1/thumbnail?panoid=emTZr7eJS_8tkJqCyRiVqA&amp;cb_client=search.gws-prod.gps&amp;w=408&amp;h=240&amp;yaw=145.14024&amp;pitch=0&amp;thumbfov=100", "link")</f>
        <v>link</v>
      </c>
    </row>
    <row r="3168" spans="1:4" x14ac:dyDescent="0.45">
      <c r="A3168" t="s">
        <v>3170</v>
      </c>
      <c r="B3168">
        <v>37.184923900000001</v>
      </c>
      <c r="C3168">
        <v>-122.0006379</v>
      </c>
      <c r="D3168" t="s">
        <v>5</v>
      </c>
    </row>
    <row r="3169" spans="1:4" x14ac:dyDescent="0.45">
      <c r="A3169" t="s">
        <v>3171</v>
      </c>
      <c r="B3169">
        <v>37.256873499999998</v>
      </c>
      <c r="C3169">
        <v>-121.9624195</v>
      </c>
      <c r="D3169" t="s">
        <v>5</v>
      </c>
    </row>
    <row r="3170" spans="1:4" x14ac:dyDescent="0.45">
      <c r="A3170" t="s">
        <v>3172</v>
      </c>
      <c r="B3170">
        <v>37.183027099999997</v>
      </c>
      <c r="C3170">
        <v>-122.00460339999999</v>
      </c>
      <c r="D3170" t="str">
        <f>HYPERLINK("https://lh5.googleusercontent.com/p/AF1QipMzDcGbBcu9AASDq2Q8opoTxEhuV-qRZWeDFfIi=w408-h306-k-no", "link")</f>
        <v>link</v>
      </c>
    </row>
    <row r="3171" spans="1:4" x14ac:dyDescent="0.45">
      <c r="A3171" t="s">
        <v>3173</v>
      </c>
      <c r="B3171">
        <v>37.182699399999997</v>
      </c>
      <c r="C3171">
        <v>-122.0039979</v>
      </c>
      <c r="D3171" t="s">
        <v>5</v>
      </c>
    </row>
    <row r="3172" spans="1:4" x14ac:dyDescent="0.45">
      <c r="A3172" t="s">
        <v>3174</v>
      </c>
      <c r="B3172">
        <v>37.244190600000003</v>
      </c>
      <c r="C3172">
        <v>-122.0294821</v>
      </c>
      <c r="D3172" t="str">
        <f>HYPERLINK("https://lh5.googleusercontent.com/p/AF1QipMi0-mn0S-87wldQa9hQiCM26H-Y_fK4b7rNCs3=w408-h543-k-no", "link")</f>
        <v>link</v>
      </c>
    </row>
    <row r="3173" spans="1:4" x14ac:dyDescent="0.45">
      <c r="A3173" t="s">
        <v>3175</v>
      </c>
      <c r="B3173">
        <v>37.243427599999997</v>
      </c>
      <c r="C3173">
        <v>-122.03023709999999</v>
      </c>
      <c r="D3173" t="s">
        <v>5</v>
      </c>
    </row>
    <row r="3174" spans="1:4" x14ac:dyDescent="0.45">
      <c r="A3174" t="s">
        <v>3176</v>
      </c>
      <c r="B3174">
        <v>37.260358099999998</v>
      </c>
      <c r="C3174">
        <v>-122.0090647</v>
      </c>
      <c r="D3174" t="s">
        <v>5</v>
      </c>
    </row>
    <row r="3175" spans="1:4" x14ac:dyDescent="0.45">
      <c r="A3175" t="s">
        <v>3177</v>
      </c>
      <c r="B3175">
        <v>37.244267200000003</v>
      </c>
      <c r="C3175">
        <v>-122.0314587</v>
      </c>
      <c r="D3175" t="str">
        <f>HYPERLINK("https://lh5.googleusercontent.com/p/AF1QipPGm_-FzTNN5JF92X3JiMi4mPxL6hvlTWpOqw4b=w408-h725-k-no", "link")</f>
        <v>link</v>
      </c>
    </row>
    <row r="3176" spans="1:4" x14ac:dyDescent="0.45">
      <c r="A3176" t="s">
        <v>3178</v>
      </c>
      <c r="B3176">
        <v>37.245301499999997</v>
      </c>
      <c r="C3176">
        <v>-122.03138730000001</v>
      </c>
      <c r="D3176" t="str">
        <f>HYPERLINK("https://streetviewpixels-pa.googleapis.com/v1/thumbnail?panoid=QxTWztUlZTy5oC9ip2sgnQ&amp;cb_client=search.gws-prod.gps&amp;w=408&amp;h=240&amp;yaw=284.7365&amp;pitch=0&amp;thumbfov=100", "link")</f>
        <v>link</v>
      </c>
    </row>
    <row r="3177" spans="1:4" x14ac:dyDescent="0.45">
      <c r="A3177" t="s">
        <v>3179</v>
      </c>
      <c r="B3177">
        <v>37.259728699999997</v>
      </c>
      <c r="C3177">
        <v>-122.01315080000001</v>
      </c>
      <c r="D3177" t="s">
        <v>5</v>
      </c>
    </row>
    <row r="3178" spans="1:4" x14ac:dyDescent="0.45">
      <c r="A3178" t="s">
        <v>3180</v>
      </c>
      <c r="B3178">
        <v>37.2642752</v>
      </c>
      <c r="C3178">
        <v>-122.0060445</v>
      </c>
      <c r="D3178" t="s">
        <v>5</v>
      </c>
    </row>
    <row r="3179" spans="1:4" x14ac:dyDescent="0.45">
      <c r="A3179" t="s">
        <v>3181</v>
      </c>
      <c r="B3179">
        <v>37.2628336</v>
      </c>
      <c r="C3179">
        <v>-122.013001</v>
      </c>
      <c r="D3179" t="str">
        <f>HYPERLINK("https://streetviewpixels-pa.googleapis.com/v1/thumbnail?panoid=u_yG9WFjAoLeZIcRvrwXrA&amp;cb_client=search.gws-prod.gps&amp;w=408&amp;h=240&amp;yaw=313.56146&amp;pitch=0&amp;thumbfov=100", "link")</f>
        <v>link</v>
      </c>
    </row>
    <row r="3180" spans="1:4" x14ac:dyDescent="0.45">
      <c r="A3180" t="s">
        <v>3182</v>
      </c>
      <c r="B3180">
        <v>37.2574021</v>
      </c>
      <c r="C3180">
        <v>-121.94205359999999</v>
      </c>
      <c r="D3180" t="s">
        <v>5</v>
      </c>
    </row>
    <row r="3181" spans="1:4" x14ac:dyDescent="0.45">
      <c r="A3181" t="s">
        <v>3183</v>
      </c>
      <c r="B3181">
        <v>37.264642299999998</v>
      </c>
      <c r="C3181">
        <v>-122.01306200000001</v>
      </c>
      <c r="D3181" t="s">
        <v>5</v>
      </c>
    </row>
    <row r="3182" spans="1:4" x14ac:dyDescent="0.45">
      <c r="A3182" t="s">
        <v>3184</v>
      </c>
      <c r="B3182">
        <v>37.266966500000002</v>
      </c>
      <c r="C3182">
        <v>-122.006844</v>
      </c>
      <c r="D3182" t="s">
        <v>5</v>
      </c>
    </row>
    <row r="3183" spans="1:4" x14ac:dyDescent="0.45">
      <c r="A3183" t="s">
        <v>3185</v>
      </c>
      <c r="B3183">
        <v>37.257499099999997</v>
      </c>
      <c r="C3183">
        <v>-121.94206699999999</v>
      </c>
      <c r="D3183" t="s">
        <v>5</v>
      </c>
    </row>
    <row r="3184" spans="1:4" x14ac:dyDescent="0.45">
      <c r="A3184" t="s">
        <v>3186</v>
      </c>
      <c r="B3184">
        <v>37.221243000000001</v>
      </c>
      <c r="C3184">
        <v>-121.98395309999999</v>
      </c>
      <c r="D3184" t="str">
        <f>HYPERLINK("https://streetviewpixels-pa.googleapis.com/v1/thumbnail?panoid=Lx30iBmU6exxZ_Z5ZpSoAQ&amp;cb_client=search.gws-prod.gps&amp;w=408&amp;h=240&amp;yaw=174.9807&amp;pitch=0&amp;thumbfov=100", "link")</f>
        <v>link</v>
      </c>
    </row>
    <row r="3185" spans="1:4" x14ac:dyDescent="0.45">
      <c r="A3185" t="s">
        <v>3187</v>
      </c>
      <c r="B3185">
        <v>37.221527100000003</v>
      </c>
      <c r="C3185">
        <v>-121.98280509999999</v>
      </c>
      <c r="D3185" t="s">
        <v>5</v>
      </c>
    </row>
    <row r="3186" spans="1:4" x14ac:dyDescent="0.45">
      <c r="A3186" t="s">
        <v>3188</v>
      </c>
      <c r="B3186">
        <v>37.220548899999997</v>
      </c>
      <c r="C3186">
        <v>-121.98490049999999</v>
      </c>
      <c r="D3186" t="s">
        <v>5</v>
      </c>
    </row>
    <row r="3187" spans="1:4" x14ac:dyDescent="0.45">
      <c r="A3187" t="s">
        <v>3189</v>
      </c>
      <c r="B3187">
        <v>37.220470599999999</v>
      </c>
      <c r="C3187">
        <v>-121.984976</v>
      </c>
      <c r="D3187" t="s">
        <v>5</v>
      </c>
    </row>
    <row r="3188" spans="1:4" x14ac:dyDescent="0.45">
      <c r="A3188" t="s">
        <v>3190</v>
      </c>
      <c r="B3188">
        <v>37.222822899999997</v>
      </c>
      <c r="C3188">
        <v>-121.9832565</v>
      </c>
      <c r="D3188" t="str">
        <f>HYPERLINK("https://streetviewpixels-pa.googleapis.com/v1/thumbnail?panoid=fTQZ25C2ArPWEykCGIm9gA&amp;cb_client=search.gws-prod.gps&amp;w=408&amp;h=240&amp;yaw=37.899563&amp;pitch=0&amp;thumbfov=100", "link")</f>
        <v>link</v>
      </c>
    </row>
    <row r="3189" spans="1:4" x14ac:dyDescent="0.45">
      <c r="A3189" t="s">
        <v>3191</v>
      </c>
      <c r="B3189">
        <v>37.223049599999896</v>
      </c>
      <c r="C3189">
        <v>-121.9831511</v>
      </c>
      <c r="D3189" t="str">
        <f>HYPERLINK("https://streetviewpixels-pa.googleapis.com/v1/thumbnail?panoid=Puxw3rWQzJpgyn1ZI385dA&amp;cb_client=search.gws-prod.gps&amp;w=408&amp;h=240&amp;yaw=18.301073&amp;pitch=0&amp;thumbfov=100", "link")</f>
        <v>link</v>
      </c>
    </row>
    <row r="3190" spans="1:4" x14ac:dyDescent="0.45">
      <c r="A3190" t="s">
        <v>3192</v>
      </c>
      <c r="B3190">
        <v>37.224321000000003</v>
      </c>
      <c r="C3190">
        <v>-121.9822795</v>
      </c>
      <c r="D3190" t="str">
        <f>HYPERLINK("https://streetviewpixels-pa.googleapis.com/v1/thumbnail?panoid=3l7qIk5Lvu8BBdbc2NX4Fw&amp;cb_client=search.gws-prod.gps&amp;w=408&amp;h=240&amp;yaw=82.425285&amp;pitch=0&amp;thumbfov=100", "link")</f>
        <v>link</v>
      </c>
    </row>
    <row r="3191" spans="1:4" x14ac:dyDescent="0.45">
      <c r="A3191" t="s">
        <v>3193</v>
      </c>
      <c r="B3191">
        <v>37.225275400000001</v>
      </c>
      <c r="C3191">
        <v>-121.9815687</v>
      </c>
      <c r="D3191" t="s">
        <v>5</v>
      </c>
    </row>
    <row r="3192" spans="1:4" x14ac:dyDescent="0.45">
      <c r="A3192" t="s">
        <v>3194</v>
      </c>
      <c r="B3192">
        <v>37.224322399999998</v>
      </c>
      <c r="C3192">
        <v>-121.9788586</v>
      </c>
      <c r="D3192" t="s">
        <v>5</v>
      </c>
    </row>
    <row r="3193" spans="1:4" x14ac:dyDescent="0.45">
      <c r="A3193" t="s">
        <v>3195</v>
      </c>
      <c r="B3193">
        <v>37.228796600000003</v>
      </c>
      <c r="C3193">
        <v>-121.98000089999999</v>
      </c>
      <c r="D3193" t="s">
        <v>5</v>
      </c>
    </row>
    <row r="3194" spans="1:4" x14ac:dyDescent="0.45">
      <c r="A3194" t="s">
        <v>3196</v>
      </c>
      <c r="B3194">
        <v>37.228928499999903</v>
      </c>
      <c r="C3194">
        <v>-121.9729249</v>
      </c>
      <c r="D3194" t="str">
        <f>HYPERLINK("https://streetviewpixels-pa.googleapis.com/v1/thumbnail?panoid=NcbjdIYwJvOda4K1q5laQQ&amp;cb_client=search.gws-prod.gps&amp;w=408&amp;h=240&amp;yaw=328.73425&amp;pitch=0&amp;thumbfov=100", "link")</f>
        <v>link</v>
      </c>
    </row>
    <row r="3195" spans="1:4" x14ac:dyDescent="0.45">
      <c r="A3195" t="s">
        <v>3197</v>
      </c>
      <c r="B3195">
        <v>37.234992400000003</v>
      </c>
      <c r="C3195">
        <v>-121.97414929999999</v>
      </c>
      <c r="D3195" t="s">
        <v>5</v>
      </c>
    </row>
    <row r="3196" spans="1:4" x14ac:dyDescent="0.45">
      <c r="A3196" t="s">
        <v>3198</v>
      </c>
      <c r="B3196">
        <v>37.235885699999997</v>
      </c>
      <c r="C3196">
        <v>-121.9733052</v>
      </c>
      <c r="D3196" t="s">
        <v>5</v>
      </c>
    </row>
    <row r="3197" spans="1:4" x14ac:dyDescent="0.45">
      <c r="A3197" t="s">
        <v>3199</v>
      </c>
      <c r="B3197">
        <v>37.236663100000001</v>
      </c>
      <c r="C3197">
        <v>-121.97059489999999</v>
      </c>
      <c r="D3197" t="s">
        <v>5</v>
      </c>
    </row>
    <row r="3198" spans="1:4" x14ac:dyDescent="0.45">
      <c r="A3198" t="s">
        <v>3200</v>
      </c>
      <c r="B3198">
        <v>37.237944400000003</v>
      </c>
      <c r="C3198">
        <v>-121.9704617</v>
      </c>
      <c r="D3198" t="s">
        <v>5</v>
      </c>
    </row>
    <row r="3199" spans="1:4" x14ac:dyDescent="0.45">
      <c r="A3199" t="s">
        <v>3201</v>
      </c>
      <c r="B3199">
        <v>37.241477600000003</v>
      </c>
      <c r="C3199">
        <v>-121.97059489999999</v>
      </c>
      <c r="D3199" t="s">
        <v>5</v>
      </c>
    </row>
    <row r="3200" spans="1:4" x14ac:dyDescent="0.45">
      <c r="A3200" t="s">
        <v>3202</v>
      </c>
      <c r="B3200">
        <v>37.242193299999997</v>
      </c>
      <c r="C3200">
        <v>-121.9664633</v>
      </c>
      <c r="D3200" t="str">
        <f>HYPERLINK("https://lh5.googleusercontent.com/p/AF1QipOoVuWrlgMCaiATvyH1YCwOCNcnjBj0jZncuTmJ=w426-h240-k-no", "link")</f>
        <v>link</v>
      </c>
    </row>
    <row r="3201" spans="1:4" x14ac:dyDescent="0.45">
      <c r="A3201" t="s">
        <v>3203</v>
      </c>
      <c r="B3201">
        <v>37.193078999999997</v>
      </c>
      <c r="C3201">
        <v>-121.9853856</v>
      </c>
      <c r="D3201" t="str">
        <f>HYPERLINK("https://lh5.googleusercontent.com/p/AF1QipOBuPClaDPEYGzoMSsrNJ4QmV6Tw-N9_5dtCTjh=w408-h725-k-no", "link")</f>
        <v>link</v>
      </c>
    </row>
    <row r="3202" spans="1:4" x14ac:dyDescent="0.45">
      <c r="A3202" t="s">
        <v>3204</v>
      </c>
      <c r="B3202">
        <v>37.232999399999997</v>
      </c>
      <c r="C3202">
        <v>-122.0182472</v>
      </c>
      <c r="D3202" t="str">
        <f>HYPERLINK("https://lh5.googleusercontent.com/p/AF1QipN45J3KgWBwrINlWcAJ71Q2bPDAx1rbTgxBUWxT=w408-h544-k-no", "link")</f>
        <v>link</v>
      </c>
    </row>
    <row r="3203" spans="1:4" x14ac:dyDescent="0.45">
      <c r="A3203" t="s">
        <v>3205</v>
      </c>
      <c r="B3203">
        <v>37.2132231</v>
      </c>
      <c r="C3203">
        <v>-122.0233054</v>
      </c>
      <c r="D3203" t="str">
        <f>HYPERLINK("https://lh5.googleusercontent.com/p/AF1QipOWTIavrmhRLn3IAk-Vh3ONEsFE2b5RGgqSOA40=w408-h306-k-no", "link")</f>
        <v>link</v>
      </c>
    </row>
    <row r="3204" spans="1:4" x14ac:dyDescent="0.45">
      <c r="A3204" t="s">
        <v>3206</v>
      </c>
      <c r="B3204">
        <v>34.060289500000003</v>
      </c>
      <c r="C3204">
        <v>-118.2010453</v>
      </c>
      <c r="D3204" t="str">
        <f>HYPERLINK("https://lh5.googleusercontent.com/p/AF1QipM9qRNLUsXJ6W5Q7guCf_QcGOvH8p7Joayt7sMa=w408-h544-k-no", "link")</f>
        <v>link</v>
      </c>
    </row>
    <row r="3205" spans="1:4" x14ac:dyDescent="0.45">
      <c r="A3205" t="s">
        <v>3207</v>
      </c>
      <c r="B3205">
        <v>34.061260599999997</v>
      </c>
      <c r="C3205">
        <v>-118.1992011</v>
      </c>
      <c r="D3205" t="s">
        <v>5</v>
      </c>
    </row>
    <row r="3206" spans="1:4" x14ac:dyDescent="0.45">
      <c r="A3206" t="s">
        <v>3208</v>
      </c>
      <c r="B3206">
        <v>34.062250300000002</v>
      </c>
      <c r="C3206">
        <v>-118.2005884</v>
      </c>
      <c r="D3206" t="s">
        <v>5</v>
      </c>
    </row>
    <row r="3207" spans="1:4" x14ac:dyDescent="0.45">
      <c r="A3207" t="s">
        <v>3209</v>
      </c>
      <c r="B3207">
        <v>34.061300000000003</v>
      </c>
      <c r="C3207">
        <v>-118.20353040000001</v>
      </c>
      <c r="D3207" t="str">
        <f>HYPERLINK("https://streetviewpixels-pa.googleapis.com/v1/thumbnail?panoid=mrbiY5_WQc5e7lY26JXyNA&amp;cb_client=search.gws-prod.gps&amp;w=408&amp;h=240&amp;yaw=183.14685&amp;pitch=0&amp;thumbfov=100", "link")</f>
        <v>link</v>
      </c>
    </row>
    <row r="3208" spans="1:4" x14ac:dyDescent="0.45">
      <c r="A3208" t="s">
        <v>3210</v>
      </c>
      <c r="B3208">
        <v>34.061644800000003</v>
      </c>
      <c r="C3208">
        <v>-118.19880120000001</v>
      </c>
      <c r="D3208" t="s">
        <v>5</v>
      </c>
    </row>
    <row r="3209" spans="1:4" x14ac:dyDescent="0.45">
      <c r="A3209" t="s">
        <v>3211</v>
      </c>
      <c r="B3209">
        <v>34.059724899999999</v>
      </c>
      <c r="C3209">
        <v>-118.2038548</v>
      </c>
      <c r="D3209" t="s">
        <v>5</v>
      </c>
    </row>
    <row r="3210" spans="1:4" x14ac:dyDescent="0.45">
      <c r="A3210" t="s">
        <v>3212</v>
      </c>
      <c r="B3210">
        <v>34.062900399999997</v>
      </c>
      <c r="C3210">
        <v>-118.2013589</v>
      </c>
      <c r="D3210" t="str">
        <f>HYPERLINK("https://streetviewpixels-pa.googleapis.com/v1/thumbnail?panoid=58A5wwt561SYIOE9AiUVKA&amp;cb_client=search.gws-prod.gps&amp;w=408&amp;h=240&amp;yaw=123.60443&amp;pitch=0&amp;thumbfov=100", "link")</f>
        <v>link</v>
      </c>
    </row>
    <row r="3211" spans="1:4" x14ac:dyDescent="0.45">
      <c r="A3211" t="s">
        <v>3213</v>
      </c>
      <c r="B3211">
        <v>34.062736800000003</v>
      </c>
      <c r="C3211">
        <v>-118.202697</v>
      </c>
      <c r="D3211" t="str">
        <f>HYPERLINK("https://streetviewpixels-pa.googleapis.com/v1/thumbnail?panoid=MTuxEogHHnGTIvFyTqay6Q&amp;cb_client=search.gws-prod.gps&amp;w=408&amp;h=240&amp;yaw=354.58707&amp;pitch=0&amp;thumbfov=100", "link")</f>
        <v>link</v>
      </c>
    </row>
    <row r="3212" spans="1:4" x14ac:dyDescent="0.45">
      <c r="A3212" t="s">
        <v>3214</v>
      </c>
      <c r="B3212">
        <v>34.064481999999998</v>
      </c>
      <c r="C3212">
        <v>-118.20133180000001</v>
      </c>
      <c r="D3212" t="str">
        <f>HYPERLINK("https://streetviewpixels-pa.googleapis.com/v1/thumbnail?panoid=rCGXQuVEgulnd5p7M42vPQ&amp;cb_client=search.gws-prod.gps&amp;w=408&amp;h=240&amp;yaw=96.36814&amp;pitch=0&amp;thumbfov=100", "link")</f>
        <v>link</v>
      </c>
    </row>
    <row r="3213" spans="1:4" x14ac:dyDescent="0.45">
      <c r="A3213" t="s">
        <v>3215</v>
      </c>
      <c r="B3213">
        <v>34.059533899999998</v>
      </c>
      <c r="C3213">
        <v>-118.2061794</v>
      </c>
      <c r="D3213" t="str">
        <f>HYPERLINK("https://streetviewpixels-pa.googleapis.com/v1/thumbnail?panoid=whTaxq_cBOG--xNc_GskxQ&amp;cb_client=search.gws-prod.gps&amp;w=408&amp;h=240&amp;yaw=13.364626&amp;pitch=0&amp;thumbfov=100", "link")</f>
        <v>link</v>
      </c>
    </row>
    <row r="3214" spans="1:4" x14ac:dyDescent="0.45">
      <c r="A3214" t="s">
        <v>3216</v>
      </c>
      <c r="B3214">
        <v>34.061102499999997</v>
      </c>
      <c r="C3214">
        <v>-118.2062524</v>
      </c>
      <c r="D3214" t="str">
        <f>HYPERLINK("https://streetviewpixels-pa.googleapis.com/v1/thumbnail?panoid=G7H9R4-YD0nEnInPTBl1TA&amp;cb_client=search.gws-prod.gps&amp;w=408&amp;h=240&amp;yaw=3.3613763&amp;pitch=0&amp;thumbfov=100", "link")</f>
        <v>link</v>
      </c>
    </row>
    <row r="3215" spans="1:4" x14ac:dyDescent="0.45">
      <c r="A3215" t="s">
        <v>3217</v>
      </c>
      <c r="B3215">
        <v>34.059518300000001</v>
      </c>
      <c r="C3215">
        <v>-118.206266</v>
      </c>
      <c r="D3215" t="str">
        <f>HYPERLINK("https://streetviewpixels-pa.googleapis.com/v1/thumbnail?panoid=whTaxq_cBOG--xNc_GskxQ&amp;cb_client=search.gws-prod.gps&amp;w=408&amp;h=240&amp;yaw=13.364626&amp;pitch=0&amp;thumbfov=100", "link")</f>
        <v>link</v>
      </c>
    </row>
    <row r="3216" spans="1:4" x14ac:dyDescent="0.45">
      <c r="A3216" t="s">
        <v>3218</v>
      </c>
      <c r="B3216">
        <v>34.060828999999998</v>
      </c>
      <c r="C3216">
        <v>-118.2063431</v>
      </c>
      <c r="D3216" t="str">
        <f>HYPERLINK("https://streetviewpixels-pa.googleapis.com/v1/thumbnail?panoid=G7H9R4-YD0nEnInPTBl1TA&amp;cb_client=search.gws-prod.gps&amp;w=408&amp;h=240&amp;yaw=3.3613763&amp;pitch=0&amp;thumbfov=100", "link")</f>
        <v>link</v>
      </c>
    </row>
    <row r="3217" spans="1:4" x14ac:dyDescent="0.45">
      <c r="A3217" t="s">
        <v>3219</v>
      </c>
      <c r="B3217">
        <v>34.063195999999998</v>
      </c>
      <c r="C3217">
        <v>-118.2050941</v>
      </c>
      <c r="D3217" t="s">
        <v>5</v>
      </c>
    </row>
    <row r="3218" spans="1:4" x14ac:dyDescent="0.45">
      <c r="A3218" t="s">
        <v>3220</v>
      </c>
      <c r="B3218">
        <v>34.064757899999996</v>
      </c>
      <c r="C3218">
        <v>-118.2031351</v>
      </c>
      <c r="D3218" t="s">
        <v>5</v>
      </c>
    </row>
    <row r="3219" spans="1:4" x14ac:dyDescent="0.45">
      <c r="A3219" t="s">
        <v>3221</v>
      </c>
      <c r="B3219">
        <v>34.058817500000004</v>
      </c>
      <c r="C3219">
        <v>-118.2065839</v>
      </c>
      <c r="D3219" t="s">
        <v>5</v>
      </c>
    </row>
    <row r="3220" spans="1:4" x14ac:dyDescent="0.45">
      <c r="A3220" t="s">
        <v>3222</v>
      </c>
      <c r="B3220">
        <v>34.0607544</v>
      </c>
      <c r="C3220">
        <v>-118.2068364</v>
      </c>
      <c r="D3220" t="s">
        <v>5</v>
      </c>
    </row>
    <row r="3221" spans="1:4" x14ac:dyDescent="0.45">
      <c r="A3221" t="s">
        <v>3223</v>
      </c>
      <c r="B3221">
        <v>34.060069299999903</v>
      </c>
      <c r="C3221">
        <v>-118.2068618</v>
      </c>
      <c r="D3221" t="s">
        <v>5</v>
      </c>
    </row>
    <row r="3222" spans="1:4" x14ac:dyDescent="0.45">
      <c r="A3222" t="s">
        <v>3224</v>
      </c>
      <c r="B3222">
        <v>34.061230299999998</v>
      </c>
      <c r="C3222">
        <v>-118.2070782</v>
      </c>
      <c r="D3222" t="s">
        <v>5</v>
      </c>
    </row>
    <row r="3223" spans="1:4" x14ac:dyDescent="0.45">
      <c r="A3223" t="s">
        <v>3225</v>
      </c>
      <c r="B3223">
        <v>34.046883599999902</v>
      </c>
      <c r="C3223">
        <v>-118.2442108</v>
      </c>
      <c r="D3223" t="str">
        <f>HYPERLINK("https://streetviewpixels-pa.googleapis.com/v1/thumbnail?panoid=hryhh-vpi6_X9AMtvyC9WA&amp;cb_client=search.gws-prod.gps&amp;w=408&amp;h=240&amp;yaw=176.02641&amp;pitch=0&amp;thumbfov=100", "link")</f>
        <v>link</v>
      </c>
    </row>
    <row r="3224" spans="1:4" x14ac:dyDescent="0.45">
      <c r="A3224" t="s">
        <v>3226</v>
      </c>
      <c r="B3224">
        <v>34.040717399999998</v>
      </c>
      <c r="C3224">
        <v>-118.1510763</v>
      </c>
      <c r="D3224" t="str">
        <f>HYPERLINK("https://streetviewpixels-pa.googleapis.com/v1/thumbnail?panoid=BTrM9CoADOKMTJiBa1AWuw&amp;cb_client=search.gws-prod.gps&amp;w=408&amp;h=240&amp;yaw=8.081831&amp;pitch=0&amp;thumbfov=100", "link")</f>
        <v>link</v>
      </c>
    </row>
    <row r="3225" spans="1:4" x14ac:dyDescent="0.45">
      <c r="A3225" t="s">
        <v>3227</v>
      </c>
      <c r="B3225">
        <v>34.061945700000003</v>
      </c>
      <c r="C3225">
        <v>-118.1251604</v>
      </c>
      <c r="D3225" t="s">
        <v>5</v>
      </c>
    </row>
    <row r="3226" spans="1:4" x14ac:dyDescent="0.45">
      <c r="A3226" t="s">
        <v>3228</v>
      </c>
      <c r="B3226">
        <v>34.035552000000003</v>
      </c>
      <c r="C3226">
        <v>-118.1599136</v>
      </c>
      <c r="D3226" t="str">
        <f>HYPERLINK("https://lh5.googleusercontent.com/p/AF1QipNwSJ5eMLHYikQocprrkE-HcSxWiTNodR8HmhbV=w408-h905-k-no", "link")</f>
        <v>link</v>
      </c>
    </row>
    <row r="3227" spans="1:4" x14ac:dyDescent="0.45">
      <c r="A3227" t="s">
        <v>3229</v>
      </c>
      <c r="B3227">
        <v>34.064414200000002</v>
      </c>
      <c r="C3227">
        <v>-118.1951838</v>
      </c>
      <c r="D3227" t="s">
        <v>5</v>
      </c>
    </row>
    <row r="3228" spans="1:4" x14ac:dyDescent="0.45">
      <c r="A3228" t="s">
        <v>3230</v>
      </c>
      <c r="B3228">
        <v>34.080510099999998</v>
      </c>
      <c r="C3228">
        <v>-118.18076550000001</v>
      </c>
      <c r="D3228" t="s">
        <v>5</v>
      </c>
    </row>
    <row r="3229" spans="1:4" x14ac:dyDescent="0.45">
      <c r="A3229" t="s">
        <v>3231</v>
      </c>
      <c r="B3229">
        <v>34.065153600000002</v>
      </c>
      <c r="C3229">
        <v>-118.19623489999999</v>
      </c>
      <c r="D3229" t="s">
        <v>5</v>
      </c>
    </row>
    <row r="3230" spans="1:4" x14ac:dyDescent="0.45">
      <c r="A3230" t="s">
        <v>3232</v>
      </c>
      <c r="B3230">
        <v>34.065496600000003</v>
      </c>
      <c r="C3230">
        <v>-118.19614350000001</v>
      </c>
      <c r="D3230" t="s">
        <v>5</v>
      </c>
    </row>
    <row r="3231" spans="1:4" x14ac:dyDescent="0.45">
      <c r="A3231" t="s">
        <v>3233</v>
      </c>
      <c r="B3231">
        <v>34.069033599999997</v>
      </c>
      <c r="C3231">
        <v>-118.1958441</v>
      </c>
      <c r="D3231" t="str">
        <f>HYPERLINK("https://lh5.googleusercontent.com/p/AF1QipNZUGqqgcdlySU2Nyp9A1bc91HoLKsQJVGYDeaL=w426-h240-k-no", "link")</f>
        <v>link</v>
      </c>
    </row>
    <row r="3232" spans="1:4" x14ac:dyDescent="0.45">
      <c r="A3232" t="s">
        <v>3234</v>
      </c>
      <c r="B3232">
        <v>34.066691300000002</v>
      </c>
      <c r="C3232">
        <v>-118.19728550000001</v>
      </c>
      <c r="D3232" t="str">
        <f>HYPERLINK("https://streetviewpixels-pa.googleapis.com/v1/thumbnail?panoid=aLq41J9rnlWB0dVlt3y8sw&amp;cb_client=search.gws-prod.gps&amp;w=408&amp;h=240&amp;yaw=312.05643&amp;pitch=0&amp;thumbfov=100", "link")</f>
        <v>link</v>
      </c>
    </row>
    <row r="3233" spans="1:4" x14ac:dyDescent="0.45">
      <c r="A3233" t="s">
        <v>3235</v>
      </c>
      <c r="B3233">
        <v>34.069783399999999</v>
      </c>
      <c r="C3233">
        <v>-118.1983827</v>
      </c>
      <c r="D3233" t="str">
        <f>HYPERLINK("https://streetviewpixels-pa.googleapis.com/v1/thumbnail?panoid=Pt8buIVPer8X80UGWhD2QA&amp;cb_client=search.gws-prod.gps&amp;w=408&amp;h=240&amp;yaw=142.63173&amp;pitch=0&amp;thumbfov=100", "link")</f>
        <v>link</v>
      </c>
    </row>
    <row r="3234" spans="1:4" x14ac:dyDescent="0.45">
      <c r="A3234" t="s">
        <v>3236</v>
      </c>
      <c r="B3234">
        <v>34.067975300000001</v>
      </c>
      <c r="C3234">
        <v>-118.1995593</v>
      </c>
      <c r="D3234" t="str">
        <f>HYPERLINK("https://streetviewpixels-pa.googleapis.com/v1/thumbnail?panoid=0ku1g7SLwpngjkvS4FwsHw&amp;cb_client=search.gws-prod.gps&amp;w=408&amp;h=240&amp;yaw=184.85524&amp;pitch=0&amp;thumbfov=100", "link")</f>
        <v>link</v>
      </c>
    </row>
    <row r="3235" spans="1:4" x14ac:dyDescent="0.45">
      <c r="A3235" t="s">
        <v>3237</v>
      </c>
      <c r="B3235">
        <v>34.0580626</v>
      </c>
      <c r="C3235">
        <v>-118.1669402</v>
      </c>
      <c r="D3235" t="str">
        <f>HYPERLINK("https://streetviewpixels-pa.googleapis.com/v1/thumbnail?panoid=N4mmTkwb5e4Mktwgsw9ukw&amp;cb_client=search.gws-prod.gps&amp;w=408&amp;h=240&amp;yaw=216.75044&amp;pitch=0&amp;thumbfov=100", "link")</f>
        <v>link</v>
      </c>
    </row>
    <row r="3236" spans="1:4" x14ac:dyDescent="0.45">
      <c r="A3236" t="s">
        <v>3238</v>
      </c>
      <c r="B3236">
        <v>34.058363499999999</v>
      </c>
      <c r="C3236">
        <v>-118.167259</v>
      </c>
      <c r="D3236" t="s">
        <v>5</v>
      </c>
    </row>
    <row r="3237" spans="1:4" x14ac:dyDescent="0.45">
      <c r="A3237" t="s">
        <v>3239</v>
      </c>
      <c r="B3237">
        <v>34.064972399999903</v>
      </c>
      <c r="C3237">
        <v>-118.16944820000001</v>
      </c>
      <c r="D3237" t="s">
        <v>5</v>
      </c>
    </row>
    <row r="3238" spans="1:4" x14ac:dyDescent="0.45">
      <c r="A3238" t="s">
        <v>3240</v>
      </c>
      <c r="B3238">
        <v>34.066018499999998</v>
      </c>
      <c r="C3238">
        <v>-118.1664712</v>
      </c>
      <c r="D3238" t="s">
        <v>5</v>
      </c>
    </row>
    <row r="3239" spans="1:4" x14ac:dyDescent="0.45">
      <c r="A3239" t="s">
        <v>3241</v>
      </c>
      <c r="B3239">
        <v>34.065050800000002</v>
      </c>
      <c r="C3239">
        <v>-118.17161969999999</v>
      </c>
      <c r="D3239" t="str">
        <f>HYPERLINK("https://lh5.googleusercontent.com/p/AF1QipMFxNXsJ5T-MrO6CoqfcR1uasI7h5AAFIMKCGDi=w408-h306-k-no", "link")</f>
        <v>link</v>
      </c>
    </row>
    <row r="3240" spans="1:4" x14ac:dyDescent="0.45">
      <c r="A3240" t="s">
        <v>3242</v>
      </c>
      <c r="B3240">
        <v>34.066165400000003</v>
      </c>
      <c r="C3240">
        <v>-118.1654319</v>
      </c>
      <c r="D3240" t="s">
        <v>5</v>
      </c>
    </row>
    <row r="3241" spans="1:4" x14ac:dyDescent="0.45">
      <c r="A3241" t="s">
        <v>3243</v>
      </c>
      <c r="B3241">
        <v>34.066109099999998</v>
      </c>
      <c r="C3241">
        <v>-118.1690426</v>
      </c>
      <c r="D3241" t="s">
        <v>5</v>
      </c>
    </row>
    <row r="3242" spans="1:4" x14ac:dyDescent="0.45">
      <c r="A3242" t="s">
        <v>3244</v>
      </c>
      <c r="B3242">
        <v>34.065478800000001</v>
      </c>
      <c r="C3242">
        <v>-118.1715288</v>
      </c>
      <c r="D3242" t="str">
        <f>HYPERLINK("https://lh5.googleusercontent.com/p/AF1QipPWC7kOZNuY67X7WUr2xAPUUZLMnJ7mdOA9Y-Q9=w408-h306-k-no", "link")</f>
        <v>link</v>
      </c>
    </row>
    <row r="3243" spans="1:4" x14ac:dyDescent="0.45">
      <c r="A3243" t="s">
        <v>3245</v>
      </c>
      <c r="B3243">
        <v>34.067312700000002</v>
      </c>
      <c r="C3243">
        <v>-118.16548090000001</v>
      </c>
      <c r="D3243" t="s">
        <v>5</v>
      </c>
    </row>
    <row r="3244" spans="1:4" x14ac:dyDescent="0.45">
      <c r="A3244" t="s">
        <v>3246</v>
      </c>
      <c r="B3244">
        <v>34.068964000000001</v>
      </c>
      <c r="C3244">
        <v>-118.1675046</v>
      </c>
      <c r="D3244" t="s">
        <v>5</v>
      </c>
    </row>
    <row r="3245" spans="1:4" x14ac:dyDescent="0.45">
      <c r="A3245" t="s">
        <v>3247</v>
      </c>
      <c r="B3245">
        <v>34.069006299999998</v>
      </c>
      <c r="C3245">
        <v>-118.1675343</v>
      </c>
      <c r="D3245" t="s">
        <v>5</v>
      </c>
    </row>
    <row r="3246" spans="1:4" x14ac:dyDescent="0.45">
      <c r="A3246" t="s">
        <v>3248</v>
      </c>
      <c r="B3246">
        <v>34.069697099999999</v>
      </c>
      <c r="C3246">
        <v>-118.1668488</v>
      </c>
      <c r="D3246" t="s">
        <v>5</v>
      </c>
    </row>
    <row r="3247" spans="1:4" x14ac:dyDescent="0.45">
      <c r="A3247" t="s">
        <v>3249</v>
      </c>
      <c r="B3247">
        <v>34.069994700000002</v>
      </c>
      <c r="C3247">
        <v>-118.16809840000001</v>
      </c>
      <c r="D3247" t="s">
        <v>5</v>
      </c>
    </row>
    <row r="3248" spans="1:4" x14ac:dyDescent="0.45">
      <c r="A3248" t="s">
        <v>3250</v>
      </c>
      <c r="B3248">
        <v>34.070017999999997</v>
      </c>
      <c r="C3248">
        <v>-118.1682694</v>
      </c>
      <c r="D3248" t="str">
        <f>HYPERLINK("https://lh5.googleusercontent.com/p/AF1QipM2j2xhRnbhmT7z6r-Vso6sMfV3ThdYwhLMfL5j=w408-h408-k-no", "link")</f>
        <v>link</v>
      </c>
    </row>
    <row r="3249" spans="1:4" x14ac:dyDescent="0.45">
      <c r="A3249" t="s">
        <v>3251</v>
      </c>
      <c r="B3249">
        <v>34.069831299999997</v>
      </c>
      <c r="C3249">
        <v>-118.16379790000001</v>
      </c>
      <c r="D3249" t="str">
        <f>HYPERLINK("https://streetviewpixels-pa.googleapis.com/v1/thumbnail?panoid=rMMWdSTdZkmg9MVCebrJyg&amp;cb_client=search.gws-prod.gps&amp;w=408&amp;h=240&amp;yaw=258.39334&amp;pitch=0&amp;thumbfov=100", "link")</f>
        <v>link</v>
      </c>
    </row>
    <row r="3250" spans="1:4" x14ac:dyDescent="0.45">
      <c r="A3250" t="s">
        <v>3252</v>
      </c>
      <c r="B3250">
        <v>34.070760800000002</v>
      </c>
      <c r="C3250">
        <v>-118.1667573</v>
      </c>
      <c r="D3250" t="str">
        <f>HYPERLINK("https://streetviewpixels-pa.googleapis.com/v1/thumbnail?panoid=9utimehiFZMcNYBz7YX3zQ&amp;cb_client=search.gws-prod.gps&amp;w=408&amp;h=240&amp;yaw=344.34882&amp;pitch=0&amp;thumbfov=100", "link")</f>
        <v>link</v>
      </c>
    </row>
    <row r="3251" spans="1:4" x14ac:dyDescent="0.45">
      <c r="A3251" t="s">
        <v>3253</v>
      </c>
      <c r="B3251">
        <v>34.070871199999999</v>
      </c>
      <c r="C3251">
        <v>-118.16724480000001</v>
      </c>
      <c r="D3251" t="str">
        <f>HYPERLINK("https://lh5.googleusercontent.com/p/AF1QipM4-XAPXQRhbfMgQb02DDDlLUuUwRoWMH2rg9sq=w408-h544-k-no", "link")</f>
        <v>link</v>
      </c>
    </row>
    <row r="3252" spans="1:4" x14ac:dyDescent="0.45">
      <c r="A3252" t="s">
        <v>3254</v>
      </c>
      <c r="B3252">
        <v>34.070934600000001</v>
      </c>
      <c r="C3252">
        <v>-118.1683539</v>
      </c>
      <c r="D3252" t="str">
        <f>HYPERLINK("https://lh5.googleusercontent.com/p/AF1QipNG_I21wVeo_mMfsqbQmlwoMNxB_9D2djrGe0Vj=w408-h306-k-no", "link")</f>
        <v>link</v>
      </c>
    </row>
    <row r="3253" spans="1:4" x14ac:dyDescent="0.45">
      <c r="A3253" t="s">
        <v>3255</v>
      </c>
      <c r="B3253">
        <v>34.041736100000001</v>
      </c>
      <c r="C3253">
        <v>-118.1694579</v>
      </c>
      <c r="D3253" t="str">
        <f>HYPERLINK("https://streetviewpixels-pa.googleapis.com/v1/thumbnail?panoid=dzIOY7qh8KuLfGNo86cZyA&amp;cb_client=search.gws-prod.gps&amp;w=408&amp;h=240&amp;yaw=259.02304&amp;pitch=0&amp;thumbfov=100", "link")</f>
        <v>link</v>
      </c>
    </row>
    <row r="3254" spans="1:4" x14ac:dyDescent="0.45">
      <c r="A3254" t="s">
        <v>3256</v>
      </c>
      <c r="B3254">
        <v>34.085915300000003</v>
      </c>
      <c r="C3254">
        <v>-118.1769625</v>
      </c>
      <c r="D3254" t="str">
        <f>HYPERLINK("https://streetviewpixels-pa.googleapis.com/v1/thumbnail?panoid=uI7wLK4p0nME_5Ua-wDv3Q&amp;cb_client=search.gws-prod.gps&amp;w=408&amp;h=240&amp;yaw=295.34314&amp;pitch=0&amp;thumbfov=100", "link")</f>
        <v>link</v>
      </c>
    </row>
    <row r="3255" spans="1:4" x14ac:dyDescent="0.45">
      <c r="A3255" t="s">
        <v>3257</v>
      </c>
      <c r="B3255">
        <v>34.136246700000001</v>
      </c>
      <c r="C3255">
        <v>-118.12173660000001</v>
      </c>
      <c r="D3255" t="s">
        <v>5</v>
      </c>
    </row>
    <row r="3256" spans="1:4" x14ac:dyDescent="0.45">
      <c r="A3256" t="s">
        <v>3258</v>
      </c>
      <c r="B3256">
        <v>34.144069099999903</v>
      </c>
      <c r="C3256">
        <v>-118.1270902</v>
      </c>
      <c r="D3256" t="str">
        <f>HYPERLINK("https://streetviewpixels-pa.googleapis.com/v1/thumbnail?panoid=QlI6FWYW9Mn0ffgP0tLLxg&amp;cb_client=search.gws-prod.gps&amp;w=408&amp;h=240&amp;yaw=1.639869&amp;pitch=0&amp;thumbfov=100", "link")</f>
        <v>link</v>
      </c>
    </row>
    <row r="3257" spans="1:4" x14ac:dyDescent="0.45">
      <c r="A3257" t="s">
        <v>3259</v>
      </c>
      <c r="B3257">
        <v>34.1442196</v>
      </c>
      <c r="C3257">
        <v>-118.1250852</v>
      </c>
      <c r="D3257" t="str">
        <f>HYPERLINK("https://streetviewpixels-pa.googleapis.com/v1/thumbnail?panoid=Kl1K5iM4KHNlSonQdUHlEQ&amp;cb_client=search.gws-prod.gps&amp;w=408&amp;h=240&amp;yaw=180.8266&amp;pitch=0&amp;thumbfov=100", "link")</f>
        <v>link</v>
      </c>
    </row>
    <row r="3258" spans="1:4" x14ac:dyDescent="0.45">
      <c r="A3258" t="s">
        <v>3260</v>
      </c>
      <c r="B3258">
        <v>34.144129200000002</v>
      </c>
      <c r="C3258">
        <v>-118.12472990000001</v>
      </c>
      <c r="D3258" t="str">
        <f>HYPERLINK("https://streetviewpixels-pa.googleapis.com/v1/thumbnail?panoid=1Oebf89S2NLL51VJ2bRxbA&amp;cb_client=search.gws-prod.gps&amp;w=408&amp;h=240&amp;yaw=272.68735&amp;pitch=0&amp;thumbfov=100", "link")</f>
        <v>link</v>
      </c>
    </row>
    <row r="3259" spans="1:4" x14ac:dyDescent="0.45">
      <c r="A3259" t="s">
        <v>3261</v>
      </c>
      <c r="B3259">
        <v>34.142521700000003</v>
      </c>
      <c r="C3259">
        <v>-118.120863</v>
      </c>
      <c r="D3259" t="s">
        <v>5</v>
      </c>
    </row>
    <row r="3260" spans="1:4" x14ac:dyDescent="0.45">
      <c r="A3260" t="s">
        <v>3262</v>
      </c>
      <c r="B3260">
        <v>34.145359800000001</v>
      </c>
      <c r="C3260">
        <v>-118.1253889</v>
      </c>
      <c r="D3260" t="s">
        <v>5</v>
      </c>
    </row>
    <row r="3261" spans="1:4" x14ac:dyDescent="0.45">
      <c r="A3261" t="s">
        <v>3263</v>
      </c>
      <c r="B3261">
        <v>34.138331600000001</v>
      </c>
      <c r="C3261">
        <v>-118.12820120000001</v>
      </c>
      <c r="D3261" t="str">
        <f>HYPERLINK("https://streetviewpixels-pa.googleapis.com/v1/thumbnail?panoid=NsVIFs2-utNHSvyIY1oBfg&amp;cb_client=search.gws-prod.gps&amp;w=408&amp;h=240&amp;yaw=279.09027&amp;pitch=0&amp;thumbfov=100", "link")</f>
        <v>link</v>
      </c>
    </row>
    <row r="3262" spans="1:4" x14ac:dyDescent="0.45">
      <c r="A3262" t="s">
        <v>3264</v>
      </c>
      <c r="B3262">
        <v>34.138692399999996</v>
      </c>
      <c r="C3262">
        <v>-118.1283555</v>
      </c>
      <c r="D3262" t="str">
        <f>HYPERLINK("https://streetviewpixels-pa.googleapis.com/v1/thumbnail?panoid=NsVIFs2-utNHSvyIY1oBfg&amp;cb_client=search.gws-prod.gps&amp;w=408&amp;h=240&amp;yaw=279.09027&amp;pitch=0&amp;thumbfov=100", "link")</f>
        <v>link</v>
      </c>
    </row>
    <row r="3263" spans="1:4" x14ac:dyDescent="0.45">
      <c r="A3263" t="s">
        <v>3265</v>
      </c>
      <c r="B3263">
        <v>34.1381485</v>
      </c>
      <c r="C3263">
        <v>-118.1288527</v>
      </c>
      <c r="D3263" t="s">
        <v>5</v>
      </c>
    </row>
    <row r="3264" spans="1:4" x14ac:dyDescent="0.45">
      <c r="A3264" t="s">
        <v>3266</v>
      </c>
      <c r="B3264">
        <v>34.136984499999997</v>
      </c>
      <c r="C3264">
        <v>-118.1284976</v>
      </c>
      <c r="D3264" t="s">
        <v>5</v>
      </c>
    </row>
    <row r="3265" spans="1:4" x14ac:dyDescent="0.45">
      <c r="A3265" t="s">
        <v>3267</v>
      </c>
      <c r="B3265">
        <v>34.139984400000003</v>
      </c>
      <c r="C3265">
        <v>-118.12836489999999</v>
      </c>
      <c r="D3265" t="str">
        <f>HYPERLINK("https://streetviewpixels-pa.googleapis.com/v1/thumbnail?panoid=HY4e055IznfcHt9B-T7BMQ&amp;cb_client=search.gws-prod.gps&amp;w=408&amp;h=240&amp;yaw=280.04758&amp;pitch=0&amp;thumbfov=100", "link")</f>
        <v>link</v>
      </c>
    </row>
    <row r="3266" spans="1:4" x14ac:dyDescent="0.45">
      <c r="A3266" t="s">
        <v>3268</v>
      </c>
      <c r="B3266">
        <v>34.1403301</v>
      </c>
      <c r="C3266">
        <v>-118.1267513</v>
      </c>
      <c r="D3266" t="s">
        <v>5</v>
      </c>
    </row>
    <row r="3267" spans="1:4" x14ac:dyDescent="0.45">
      <c r="A3267" t="s">
        <v>3269</v>
      </c>
      <c r="B3267">
        <v>34.139363699999898</v>
      </c>
      <c r="C3267">
        <v>-118.1311606</v>
      </c>
      <c r="D3267" t="str">
        <f>HYPERLINK("https://streetviewpixels-pa.googleapis.com/v1/thumbnail?panoid=o0jZwzjQePgZ0EVQvkBZWA&amp;cb_client=search.gws-prod.gps&amp;w=408&amp;h=240&amp;yaw=35.38015&amp;pitch=0&amp;thumbfov=100", "link")</f>
        <v>link</v>
      </c>
    </row>
    <row r="3268" spans="1:4" x14ac:dyDescent="0.45">
      <c r="A3268" t="s">
        <v>3270</v>
      </c>
      <c r="B3268">
        <v>34.1399677</v>
      </c>
      <c r="C3268">
        <v>-118.1255214</v>
      </c>
      <c r="D3268" t="s">
        <v>5</v>
      </c>
    </row>
    <row r="3269" spans="1:4" x14ac:dyDescent="0.45">
      <c r="A3269" t="s">
        <v>3271</v>
      </c>
      <c r="B3269">
        <v>34.140605000000001</v>
      </c>
      <c r="C3269">
        <v>-118.1254136</v>
      </c>
      <c r="D3269" t="s">
        <v>5</v>
      </c>
    </row>
    <row r="3270" spans="1:4" x14ac:dyDescent="0.45">
      <c r="A3270" t="s">
        <v>3272</v>
      </c>
      <c r="B3270">
        <v>34.138516000000003</v>
      </c>
      <c r="C3270">
        <v>-118.1236881</v>
      </c>
      <c r="D3270" t="s">
        <v>5</v>
      </c>
    </row>
    <row r="3271" spans="1:4" x14ac:dyDescent="0.45">
      <c r="A3271" t="s">
        <v>3273</v>
      </c>
      <c r="B3271">
        <v>34.137830600000001</v>
      </c>
      <c r="C3271">
        <v>-118.13333489999999</v>
      </c>
      <c r="D3271" t="str">
        <f>HYPERLINK("https://streetviewpixels-pa.googleapis.com/v1/thumbnail?panoid=iUcAaGi-sGzniZN8M7k-bA&amp;cb_client=search.gws-prod.gps&amp;w=408&amp;h=240&amp;yaw=105.14352&amp;pitch=0&amp;thumbfov=100", "link")</f>
        <v>link</v>
      </c>
    </row>
    <row r="3272" spans="1:4" x14ac:dyDescent="0.45">
      <c r="A3272" t="s">
        <v>3274</v>
      </c>
      <c r="B3272">
        <v>34.134067100000003</v>
      </c>
      <c r="C3272">
        <v>-118.1262916</v>
      </c>
      <c r="D3272" t="s">
        <v>5</v>
      </c>
    </row>
    <row r="3273" spans="1:4" x14ac:dyDescent="0.45">
      <c r="A3273" t="s">
        <v>3275</v>
      </c>
      <c r="B3273">
        <v>34.134266699999998</v>
      </c>
      <c r="C3273">
        <v>-118.1254205</v>
      </c>
      <c r="D3273" t="s">
        <v>5</v>
      </c>
    </row>
    <row r="3274" spans="1:4" x14ac:dyDescent="0.45">
      <c r="A3274" t="s">
        <v>3276</v>
      </c>
      <c r="B3274">
        <v>34.139501500000001</v>
      </c>
      <c r="C3274">
        <v>-118.1225827</v>
      </c>
      <c r="D3274" t="str">
        <f>HYPERLINK("https://streetviewpixels-pa.googleapis.com/v1/thumbnail?panoid=-Eso9lBeaPD0ICMds-g4Iw&amp;cb_client=search.gws-prod.gps&amp;w=408&amp;h=240&amp;yaw=99.76748&amp;pitch=0&amp;thumbfov=100", "link")</f>
        <v>link</v>
      </c>
    </row>
    <row r="3275" spans="1:4" x14ac:dyDescent="0.45">
      <c r="A3275" t="s">
        <v>3277</v>
      </c>
      <c r="B3275">
        <v>34.133965799999999</v>
      </c>
      <c r="C3275">
        <v>-118.1253432</v>
      </c>
      <c r="D3275" t="s">
        <v>5</v>
      </c>
    </row>
    <row r="3276" spans="1:4" x14ac:dyDescent="0.45">
      <c r="A3276" t="s">
        <v>3278</v>
      </c>
      <c r="B3276">
        <v>34.179023100000002</v>
      </c>
      <c r="C3276">
        <v>-118.3939982</v>
      </c>
      <c r="D3276" t="s">
        <v>5</v>
      </c>
    </row>
    <row r="3277" spans="1:4" x14ac:dyDescent="0.45">
      <c r="A3277" t="s">
        <v>3279</v>
      </c>
      <c r="B3277">
        <v>34.179389899999997</v>
      </c>
      <c r="C3277">
        <v>-118.3937835</v>
      </c>
      <c r="D3277" t="s">
        <v>5</v>
      </c>
    </row>
    <row r="3278" spans="1:4" x14ac:dyDescent="0.45">
      <c r="A3278" t="s">
        <v>3280</v>
      </c>
      <c r="B3278">
        <v>34.179587099999999</v>
      </c>
      <c r="C3278">
        <v>-118.40675950000001</v>
      </c>
      <c r="D3278" t="str">
        <f>HYPERLINK("https://streetviewpixels-pa.googleapis.com/v1/thumbnail?panoid=4B4fBAWROb4ktKXF9e8ZxQ&amp;cb_client=search.gws-prod.gps&amp;w=408&amp;h=240&amp;yaw=5.5211062&amp;pitch=0&amp;thumbfov=100", "link")</f>
        <v>link</v>
      </c>
    </row>
    <row r="3279" spans="1:4" x14ac:dyDescent="0.45">
      <c r="A3279" t="s">
        <v>3281</v>
      </c>
      <c r="B3279">
        <v>34.172549199999999</v>
      </c>
      <c r="C3279">
        <v>-118.3831915</v>
      </c>
      <c r="D3279" t="str">
        <f>HYPERLINK("https://streetviewpixels-pa.googleapis.com/v1/thumbnail?panoid=kG_YCgffkYdRNYdfKpCcJg&amp;cb_client=search.gws-prod.gps&amp;w=408&amp;h=240&amp;yaw=101.31538&amp;pitch=0&amp;thumbfov=100", "link")</f>
        <v>link</v>
      </c>
    </row>
    <row r="3280" spans="1:4" x14ac:dyDescent="0.45">
      <c r="A3280" t="s">
        <v>3282</v>
      </c>
      <c r="B3280">
        <v>34.1680031</v>
      </c>
      <c r="C3280">
        <v>-118.39234829999999</v>
      </c>
      <c r="D3280" t="str">
        <f>HYPERLINK("https://streetviewpixels-pa.googleapis.com/v1/thumbnail?panoid=PTIk0gKjFYg5V1qsSWqhfg&amp;cb_client=search.gws-prod.gps&amp;w=408&amp;h=240&amp;yaw=196.0772&amp;pitch=0&amp;thumbfov=100", "link")</f>
        <v>link</v>
      </c>
    </row>
    <row r="3281" spans="1:4" x14ac:dyDescent="0.45">
      <c r="A3281" t="s">
        <v>3283</v>
      </c>
      <c r="B3281">
        <v>34.188999799999998</v>
      </c>
      <c r="C3281">
        <v>-118.40001650000001</v>
      </c>
      <c r="D3281" t="s">
        <v>5</v>
      </c>
    </row>
    <row r="3282" spans="1:4" x14ac:dyDescent="0.45">
      <c r="A3282" t="s">
        <v>3284</v>
      </c>
      <c r="B3282">
        <v>34.167751000000003</v>
      </c>
      <c r="C3282">
        <v>-118.3827052</v>
      </c>
      <c r="D3282" t="str">
        <f>HYPERLINK("https://lh5.googleusercontent.com/p/AF1QipOAuB_5lupOoMEmcot9nwqc8MByNOewjhEylS6w=w408-h306-k-no", "link")</f>
        <v>link</v>
      </c>
    </row>
    <row r="3283" spans="1:4" x14ac:dyDescent="0.45">
      <c r="A3283" t="s">
        <v>3285</v>
      </c>
      <c r="B3283">
        <v>34.165236</v>
      </c>
      <c r="C3283">
        <v>-118.384985</v>
      </c>
      <c r="D3283" t="str">
        <f>HYPERLINK("https://streetviewpixels-pa.googleapis.com/v1/thumbnail?panoid=bL_97nZCBIFRX_5BgbFfCg&amp;cb_client=search.gws-prod.gps&amp;w=408&amp;h=240&amp;yaw=2.937438&amp;pitch=0&amp;thumbfov=100", "link")</f>
        <v>link</v>
      </c>
    </row>
    <row r="3284" spans="1:4" x14ac:dyDescent="0.45">
      <c r="A3284" t="s">
        <v>3286</v>
      </c>
      <c r="B3284">
        <v>34.165167799999999</v>
      </c>
      <c r="C3284">
        <v>-118.3842215</v>
      </c>
      <c r="D3284" t="str">
        <f>HYPERLINK("https://streetviewpixels-pa.googleapis.com/v1/thumbnail?panoid=jkhXxRIfSrv6tszR3KiFZA&amp;cb_client=search.gws-prod.gps&amp;w=408&amp;h=240&amp;yaw=5.836477&amp;pitch=0&amp;thumbfov=100", "link")</f>
        <v>link</v>
      </c>
    </row>
    <row r="3285" spans="1:4" x14ac:dyDescent="0.45">
      <c r="A3285" t="s">
        <v>3287</v>
      </c>
      <c r="B3285">
        <v>34.166051899999999</v>
      </c>
      <c r="C3285">
        <v>-118.3819227</v>
      </c>
      <c r="D3285" t="str">
        <f>HYPERLINK("https://lh5.googleusercontent.com/p/AF1QipNESsxQxfjqesGc5qhN1kDEI-VHaT_m-ISHnQF6=w408-h306-k-no", "link")</f>
        <v>link</v>
      </c>
    </row>
    <row r="3286" spans="1:4" x14ac:dyDescent="0.45">
      <c r="A3286" t="s">
        <v>3288</v>
      </c>
      <c r="B3286">
        <v>34.167762699999997</v>
      </c>
      <c r="C3286">
        <v>-118.37823349999999</v>
      </c>
      <c r="D3286" t="s">
        <v>5</v>
      </c>
    </row>
    <row r="3287" spans="1:4" x14ac:dyDescent="0.45">
      <c r="A3287" t="s">
        <v>3289</v>
      </c>
      <c r="B3287">
        <v>34.1677502</v>
      </c>
      <c r="C3287">
        <v>-118.3782434</v>
      </c>
      <c r="D3287" t="s">
        <v>5</v>
      </c>
    </row>
    <row r="3288" spans="1:4" x14ac:dyDescent="0.45">
      <c r="A3288" t="s">
        <v>3290</v>
      </c>
      <c r="B3288">
        <v>34.159281100000001</v>
      </c>
      <c r="C3288">
        <v>-118.3705612</v>
      </c>
      <c r="D3288" t="str">
        <f>HYPERLINK("https://streetviewpixels-pa.googleapis.com/v1/thumbnail?panoid=0jlOfSsaYwyyk5ybbQQmGg&amp;cb_client=search.gws-prod.gps&amp;w=408&amp;h=240&amp;yaw=54.83556&amp;pitch=0&amp;thumbfov=100", "link")</f>
        <v>link</v>
      </c>
    </row>
    <row r="3289" spans="1:4" x14ac:dyDescent="0.45">
      <c r="A3289" t="s">
        <v>3291</v>
      </c>
      <c r="B3289">
        <v>34.158278099999997</v>
      </c>
      <c r="C3289">
        <v>-118.37880060000001</v>
      </c>
      <c r="D3289" t="str">
        <f>HYPERLINK("https://streetviewpixels-pa.googleapis.com/v1/thumbnail?panoid=VVBghwXboWk51MbmkM_L5Q&amp;cb_client=search.gws-prod.gps&amp;w=408&amp;h=240&amp;yaw=93.37119&amp;pitch=0&amp;thumbfov=100", "link")</f>
        <v>link</v>
      </c>
    </row>
    <row r="3290" spans="1:4" x14ac:dyDescent="0.45">
      <c r="A3290" t="s">
        <v>3292</v>
      </c>
      <c r="B3290">
        <v>34.154950599999999</v>
      </c>
      <c r="C3290">
        <v>-118.3682835</v>
      </c>
      <c r="D3290" t="s">
        <v>5</v>
      </c>
    </row>
    <row r="3291" spans="1:4" x14ac:dyDescent="0.45">
      <c r="A3291" t="s">
        <v>3293</v>
      </c>
      <c r="B3291">
        <v>34.154978199999903</v>
      </c>
      <c r="C3291">
        <v>-118.36794759999999</v>
      </c>
      <c r="D3291" t="s">
        <v>5</v>
      </c>
    </row>
    <row r="3292" spans="1:4" x14ac:dyDescent="0.45">
      <c r="A3292" t="s">
        <v>3294</v>
      </c>
      <c r="B3292">
        <v>34.153759899999898</v>
      </c>
      <c r="C3292">
        <v>-118.368246</v>
      </c>
      <c r="D3292" t="str">
        <f>HYPERLINK("https://streetviewpixels-pa.googleapis.com/v1/thumbnail?panoid=fynA78fHkU7NCwHJzJDSdQ&amp;cb_client=search.gws-prod.gps&amp;w=408&amp;h=240&amp;yaw=258.61505&amp;pitch=0&amp;thumbfov=100", "link")</f>
        <v>link</v>
      </c>
    </row>
    <row r="3293" spans="1:4" x14ac:dyDescent="0.45">
      <c r="A3293" t="s">
        <v>3295</v>
      </c>
      <c r="B3293">
        <v>34.166243100000003</v>
      </c>
      <c r="C3293">
        <v>-118.3735203</v>
      </c>
      <c r="D3293" t="str">
        <f>HYPERLINK("https://streetviewpixels-pa.googleapis.com/v1/thumbnail?panoid=pfEPGt8fpwH8iTgPt3vsuA&amp;cb_client=search.gws-prod.gps&amp;w=408&amp;h=240&amp;yaw=317.1624&amp;pitch=0&amp;thumbfov=100", "link")</f>
        <v>link</v>
      </c>
    </row>
    <row r="3294" spans="1:4" x14ac:dyDescent="0.45">
      <c r="A3294" t="s">
        <v>3296</v>
      </c>
      <c r="B3294">
        <v>34.165277999999901</v>
      </c>
      <c r="C3294">
        <v>-118.37583119999999</v>
      </c>
      <c r="D3294" t="s">
        <v>5</v>
      </c>
    </row>
    <row r="3295" spans="1:4" x14ac:dyDescent="0.45">
      <c r="A3295" t="s">
        <v>3297</v>
      </c>
      <c r="B3295">
        <v>34.165362799999997</v>
      </c>
      <c r="C3295">
        <v>-118.37454580000001</v>
      </c>
      <c r="D3295" t="str">
        <f>HYPERLINK("https://lh5.googleusercontent.com/p/AF1QipPJ_ldTwsuaCNdGipLOIvDdywJHDZoqyLtmD-g=w408-h839-k-no", "link")</f>
        <v>link</v>
      </c>
    </row>
    <row r="3296" spans="1:4" x14ac:dyDescent="0.45">
      <c r="A3296" t="s">
        <v>3298</v>
      </c>
      <c r="B3296">
        <v>34.165122500000003</v>
      </c>
      <c r="C3296">
        <v>-118.3758607</v>
      </c>
      <c r="D3296" t="s">
        <v>5</v>
      </c>
    </row>
    <row r="3297" spans="1:4" x14ac:dyDescent="0.45">
      <c r="A3297" t="s">
        <v>3299</v>
      </c>
      <c r="B3297">
        <v>34.1651369</v>
      </c>
      <c r="C3297">
        <v>-118.37444549999999</v>
      </c>
      <c r="D3297" t="str">
        <f>HYPERLINK("https://lh5.googleusercontent.com/p/AF1QipPJ_ldTwsuaCNdGipLOIvDdywJHDZoqyLtmD-g=w408-h839-k-no", "link")</f>
        <v>link</v>
      </c>
    </row>
    <row r="3298" spans="1:4" x14ac:dyDescent="0.45">
      <c r="A3298" t="s">
        <v>3300</v>
      </c>
      <c r="B3298">
        <v>34.164344700000001</v>
      </c>
      <c r="C3298">
        <v>-118.3754452</v>
      </c>
      <c r="D3298" t="str">
        <f>HYPERLINK("https://streetviewpixels-pa.googleapis.com/v1/thumbnail?panoid=peMeMmHVPs7qF2U0CQPwXQ&amp;cb_client=search.gws-prod.gps&amp;w=408&amp;h=240&amp;yaw=80.34538&amp;pitch=0&amp;thumbfov=100", "link")</f>
        <v>link</v>
      </c>
    </row>
    <row r="3299" spans="1:4" x14ac:dyDescent="0.45">
      <c r="A3299" t="s">
        <v>3301</v>
      </c>
      <c r="B3299">
        <v>34.165311000000003</v>
      </c>
      <c r="C3299">
        <v>-118.3785961</v>
      </c>
      <c r="D3299" t="str">
        <f>HYPERLINK("https://streetviewpixels-pa.googleapis.com/v1/thumbnail?panoid=rh_vyy1d3AOISYDd7C3wpg&amp;cb_client=search.gws-prod.gps&amp;w=408&amp;h=240&amp;yaw=322.43158&amp;pitch=0&amp;thumbfov=100", "link")</f>
        <v>link</v>
      </c>
    </row>
    <row r="3300" spans="1:4" x14ac:dyDescent="0.45">
      <c r="A3300" t="s">
        <v>3302</v>
      </c>
      <c r="B3300">
        <v>34.164278299999999</v>
      </c>
      <c r="C3300">
        <v>-118.3747284</v>
      </c>
      <c r="D3300" t="str">
        <f>HYPERLINK("https://lh5.googleusercontent.com/p/AF1QipNuOZDGROoqAmZsmBMzQud6j70nS6rA2r7_d7lI=w408-h306-k-no", "link")</f>
        <v>link</v>
      </c>
    </row>
    <row r="3301" spans="1:4" x14ac:dyDescent="0.45">
      <c r="A3301" t="s">
        <v>3303</v>
      </c>
      <c r="B3301">
        <v>34.163805000000004</v>
      </c>
      <c r="C3301">
        <v>-118.3785232</v>
      </c>
      <c r="D3301" t="str">
        <f>HYPERLINK("https://streetviewpixels-pa.googleapis.com/v1/thumbnail?panoid=52KnyE5E4sUhKxhJCCrb1w&amp;cb_client=search.gws-prod.gps&amp;w=408&amp;h=240&amp;yaw=93.095314&amp;pitch=0&amp;thumbfov=100", "link")</f>
        <v>link</v>
      </c>
    </row>
    <row r="3302" spans="1:4" x14ac:dyDescent="0.45">
      <c r="A3302" t="s">
        <v>3304</v>
      </c>
      <c r="B3302">
        <v>34.176489199999999</v>
      </c>
      <c r="C3302">
        <v>-118.41868650000001</v>
      </c>
      <c r="D3302" t="str">
        <f>HYPERLINK("https://streetviewpixels-pa.googleapis.com/v1/thumbnail?panoid=ZW3HcNqpBYD8przLi0ueiw&amp;cb_client=search.gws-prod.gps&amp;w=408&amp;h=240&amp;yaw=171.87183&amp;pitch=0&amp;thumbfov=100", "link")</f>
        <v>link</v>
      </c>
    </row>
    <row r="3303" spans="1:4" x14ac:dyDescent="0.45">
      <c r="A3303" t="s">
        <v>3305</v>
      </c>
      <c r="B3303">
        <v>34.174463099999997</v>
      </c>
      <c r="C3303">
        <v>-118.4178818</v>
      </c>
      <c r="D3303" t="str">
        <f>HYPERLINK("https://streetviewpixels-pa.googleapis.com/v1/thumbnail?panoid=1nRKVeB99wqdz1ViGuu3vA&amp;cb_client=search.gws-prod.gps&amp;w=408&amp;h=240&amp;yaw=332.89185&amp;pitch=0&amp;thumbfov=100", "link")</f>
        <v>link</v>
      </c>
    </row>
    <row r="3304" spans="1:4" x14ac:dyDescent="0.45">
      <c r="A3304" t="s">
        <v>3306</v>
      </c>
      <c r="B3304">
        <v>34.186319500000003</v>
      </c>
      <c r="C3304">
        <v>-118.42274519999999</v>
      </c>
      <c r="D3304" t="str">
        <f>HYPERLINK("https://streetviewpixels-pa.googleapis.com/v1/thumbnail?panoid=Te6y3KzZO6glGAatIIV8sw&amp;cb_client=search.gws-prod.gps&amp;w=408&amp;h=240&amp;yaw=190.25641&amp;pitch=0&amp;thumbfov=100", "link")</f>
        <v>link</v>
      </c>
    </row>
    <row r="3305" spans="1:4" x14ac:dyDescent="0.45">
      <c r="A3305" t="s">
        <v>3307</v>
      </c>
      <c r="B3305">
        <v>34.148287699999997</v>
      </c>
      <c r="C3305">
        <v>-118.3911794</v>
      </c>
      <c r="D3305" t="s">
        <v>5</v>
      </c>
    </row>
    <row r="3306" spans="1:4" x14ac:dyDescent="0.45">
      <c r="A3306" t="s">
        <v>3308</v>
      </c>
      <c r="B3306">
        <v>34.1411321</v>
      </c>
      <c r="C3306">
        <v>-118.3758622</v>
      </c>
      <c r="D3306" t="str">
        <f>HYPERLINK("https://streetviewpixels-pa.googleapis.com/v1/thumbnail?panoid=2o61hgiEjBgsxKjaitjmnw&amp;cb_client=search.gws-prod.gps&amp;w=408&amp;h=240&amp;yaw=323.79166&amp;pitch=0&amp;thumbfov=100", "link")</f>
        <v>link</v>
      </c>
    </row>
    <row r="3307" spans="1:4" x14ac:dyDescent="0.45">
      <c r="A3307" t="s">
        <v>3309</v>
      </c>
      <c r="B3307">
        <v>34.159999900000003</v>
      </c>
      <c r="C3307">
        <v>-118.4</v>
      </c>
      <c r="D3307" t="str">
        <f>HYPERLINK("https://streetviewpixels-pa.googleapis.com/v1/thumbnail?panoid=ml3y2JmVH1WtTmMNdTtftQ&amp;cb_client=search.gws-prod.gps&amp;w=408&amp;h=240&amp;yaw=172.18794&amp;pitch=0&amp;thumbfov=100", "link")</f>
        <v>link</v>
      </c>
    </row>
    <row r="3308" spans="1:4" x14ac:dyDescent="0.45">
      <c r="A3308" t="s">
        <v>3310</v>
      </c>
      <c r="B3308">
        <v>34.219695199999997</v>
      </c>
      <c r="C3308">
        <v>-118.53392479999999</v>
      </c>
      <c r="D3308" t="s">
        <v>5</v>
      </c>
    </row>
    <row r="3309" spans="1:4" x14ac:dyDescent="0.45">
      <c r="A3309" t="s">
        <v>3311</v>
      </c>
      <c r="B3309">
        <v>34.219730400000003</v>
      </c>
      <c r="C3309">
        <v>-118.5320601</v>
      </c>
      <c r="D3309" t="s">
        <v>5</v>
      </c>
    </row>
    <row r="3310" spans="1:4" x14ac:dyDescent="0.45">
      <c r="A3310" t="s">
        <v>3312</v>
      </c>
      <c r="B3310">
        <v>34.219730300000002</v>
      </c>
      <c r="C3310">
        <v>-118.53206</v>
      </c>
      <c r="D3310" t="s">
        <v>5</v>
      </c>
    </row>
    <row r="3311" spans="1:4" x14ac:dyDescent="0.45">
      <c r="A3311" t="s">
        <v>3313</v>
      </c>
      <c r="B3311">
        <v>33.914999399999999</v>
      </c>
      <c r="C3311">
        <v>-118.06649969999999</v>
      </c>
      <c r="D3311" t="s">
        <v>5</v>
      </c>
    </row>
    <row r="3312" spans="1:4" x14ac:dyDescent="0.45">
      <c r="A3312" t="s">
        <v>3314</v>
      </c>
      <c r="B3312">
        <v>33.916373499999999</v>
      </c>
      <c r="C3312">
        <v>-118.0666669</v>
      </c>
      <c r="D3312" t="str">
        <f>HYPERLINK("https://streetviewpixels-pa.googleapis.com/v1/thumbnail?panoid=_PC3WTE1ijaaHP3lSii1_w&amp;cb_client=search.gws-prod.gps&amp;w=408&amp;h=240&amp;yaw=232.78154&amp;pitch=0&amp;thumbfov=100", "link")</f>
        <v>link</v>
      </c>
    </row>
    <row r="3313" spans="1:4" x14ac:dyDescent="0.45">
      <c r="A3313" t="s">
        <v>3315</v>
      </c>
      <c r="B3313">
        <v>33.914904900000003</v>
      </c>
      <c r="C3313">
        <v>-118.07038350000001</v>
      </c>
      <c r="D3313" t="str">
        <f>HYPERLINK("https://lh5.googleusercontent.com/p/AF1QipN7ZqNiJTxBYdQ38_pWw9DV2CjsdMnmKlAGEDy8=w408-h544-k-no", "link")</f>
        <v>link</v>
      </c>
    </row>
    <row r="3314" spans="1:4" x14ac:dyDescent="0.45">
      <c r="A3314" t="s">
        <v>3316</v>
      </c>
      <c r="B3314">
        <v>33.921493300000002</v>
      </c>
      <c r="C3314">
        <v>-118.0835077</v>
      </c>
      <c r="D3314" t="s">
        <v>5</v>
      </c>
    </row>
    <row r="3315" spans="1:4" x14ac:dyDescent="0.45">
      <c r="A3315" t="s">
        <v>3317</v>
      </c>
      <c r="B3315">
        <v>33.927567000000003</v>
      </c>
      <c r="C3315">
        <v>-118.0953736</v>
      </c>
      <c r="D3315" t="s">
        <v>5</v>
      </c>
    </row>
    <row r="3316" spans="1:4" x14ac:dyDescent="0.45">
      <c r="A3316" t="s">
        <v>3318</v>
      </c>
      <c r="B3316">
        <v>33.886636099999997</v>
      </c>
      <c r="C3316">
        <v>-118.0841022</v>
      </c>
      <c r="D3316" t="s">
        <v>5</v>
      </c>
    </row>
    <row r="3317" spans="1:4" x14ac:dyDescent="0.45">
      <c r="A3317" t="s">
        <v>3319</v>
      </c>
      <c r="B3317">
        <v>34.023157500000003</v>
      </c>
      <c r="C3317">
        <v>-118.51148499999999</v>
      </c>
      <c r="D3317" t="s">
        <v>5</v>
      </c>
    </row>
    <row r="3318" spans="1:4" x14ac:dyDescent="0.45">
      <c r="A3318" t="s">
        <v>3320</v>
      </c>
      <c r="B3318">
        <v>34.029750300000003</v>
      </c>
      <c r="C3318">
        <v>-118.5018149</v>
      </c>
      <c r="D3318" t="s">
        <v>5</v>
      </c>
    </row>
    <row r="3319" spans="1:4" x14ac:dyDescent="0.45">
      <c r="A3319" t="s">
        <v>3321</v>
      </c>
      <c r="B3319">
        <v>34.030262200000003</v>
      </c>
      <c r="C3319">
        <v>-118.4977849</v>
      </c>
      <c r="D3319" t="str">
        <f>HYPERLINK("https://streetviewpixels-pa.googleapis.com/v1/thumbnail?panoid=D-GEUUtkxH5q1VI75xrZtQ&amp;cb_client=search.gws-prod.gps&amp;w=408&amp;h=240&amp;yaw=349.54425&amp;pitch=0&amp;thumbfov=100", "link")</f>
        <v>link</v>
      </c>
    </row>
    <row r="3320" spans="1:4" x14ac:dyDescent="0.45">
      <c r="A3320" t="s">
        <v>3322</v>
      </c>
      <c r="B3320">
        <v>34.021130900000003</v>
      </c>
      <c r="C3320">
        <v>-118.5084952</v>
      </c>
      <c r="D3320" t="s">
        <v>5</v>
      </c>
    </row>
    <row r="3321" spans="1:4" x14ac:dyDescent="0.45">
      <c r="A3321" t="s">
        <v>3323</v>
      </c>
      <c r="B3321">
        <v>34.021068200000002</v>
      </c>
      <c r="C3321">
        <v>-118.5083929</v>
      </c>
      <c r="D3321" t="s">
        <v>5</v>
      </c>
    </row>
    <row r="3322" spans="1:4" x14ac:dyDescent="0.45">
      <c r="A3322" t="s">
        <v>3324</v>
      </c>
      <c r="B3322">
        <v>34.021017200000003</v>
      </c>
      <c r="C3322">
        <v>-118.50839499999999</v>
      </c>
      <c r="D3322" t="s">
        <v>5</v>
      </c>
    </row>
    <row r="3323" spans="1:4" x14ac:dyDescent="0.45">
      <c r="A3323" t="s">
        <v>3325</v>
      </c>
      <c r="B3323">
        <v>34.047985300000001</v>
      </c>
      <c r="C3323">
        <v>-118.49209860000001</v>
      </c>
      <c r="D3323" t="s">
        <v>5</v>
      </c>
    </row>
    <row r="3324" spans="1:4" x14ac:dyDescent="0.45">
      <c r="A3324" t="s">
        <v>3326</v>
      </c>
      <c r="B3324">
        <v>34.032961200000003</v>
      </c>
      <c r="C3324">
        <v>-118.4950525</v>
      </c>
      <c r="D3324" t="str">
        <f>HYPERLINK("https://streetviewpixels-pa.googleapis.com/v1/thumbnail?panoid=GzMfPblUC6TGFyTD7H8ctA&amp;cb_client=search.gws-prod.gps&amp;w=408&amp;h=240&amp;yaw=125.583664&amp;pitch=0&amp;thumbfov=100", "link")</f>
        <v>link</v>
      </c>
    </row>
    <row r="3325" spans="1:4" x14ac:dyDescent="0.45">
      <c r="A3325" t="s">
        <v>3327</v>
      </c>
      <c r="B3325">
        <v>34.047677499999999</v>
      </c>
      <c r="C3325">
        <v>-118.4917337</v>
      </c>
      <c r="D3325" t="s">
        <v>5</v>
      </c>
    </row>
    <row r="3326" spans="1:4" x14ac:dyDescent="0.45">
      <c r="A3326" t="s">
        <v>3328</v>
      </c>
      <c r="B3326">
        <v>34.047506599999998</v>
      </c>
      <c r="C3326">
        <v>-118.49146</v>
      </c>
      <c r="D3326" t="s">
        <v>5</v>
      </c>
    </row>
    <row r="3327" spans="1:4" x14ac:dyDescent="0.45">
      <c r="A3327" t="s">
        <v>3329</v>
      </c>
      <c r="B3327">
        <v>34.0481760999999</v>
      </c>
      <c r="C3327">
        <v>-118.4911261</v>
      </c>
      <c r="D3327" t="str">
        <f>HYPERLINK("https://streetviewpixels-pa.googleapis.com/v1/thumbnail?panoid=E_lUOodoKWmPIeZZml3UMw&amp;cb_client=search.gws-prod.gps&amp;w=408&amp;h=240&amp;yaw=150.99449&amp;pitch=0&amp;thumbfov=100", "link")</f>
        <v>link</v>
      </c>
    </row>
    <row r="3328" spans="1:4" x14ac:dyDescent="0.45">
      <c r="A3328" t="s">
        <v>3330</v>
      </c>
      <c r="B3328">
        <v>34.054305200000002</v>
      </c>
      <c r="C3328">
        <v>-118.51349190000001</v>
      </c>
      <c r="D3328" t="s">
        <v>5</v>
      </c>
    </row>
    <row r="3329" spans="1:4" x14ac:dyDescent="0.45">
      <c r="A3329" t="s">
        <v>3331</v>
      </c>
      <c r="B3329">
        <v>34.0545592</v>
      </c>
      <c r="C3329">
        <v>-118.5118499</v>
      </c>
      <c r="D3329" t="s">
        <v>5</v>
      </c>
    </row>
    <row r="3330" spans="1:4" x14ac:dyDescent="0.45">
      <c r="A3330" t="s">
        <v>3332</v>
      </c>
      <c r="B3330">
        <v>34.027216099999997</v>
      </c>
      <c r="C3330">
        <v>-118.51821219999999</v>
      </c>
      <c r="D3330" t="s">
        <v>5</v>
      </c>
    </row>
    <row r="3331" spans="1:4" x14ac:dyDescent="0.45">
      <c r="A3331" t="s">
        <v>3333</v>
      </c>
      <c r="B3331">
        <v>34.026916800000002</v>
      </c>
      <c r="C3331">
        <v>-118.5175057</v>
      </c>
      <c r="D3331" t="s">
        <v>5</v>
      </c>
    </row>
    <row r="3332" spans="1:4" x14ac:dyDescent="0.45">
      <c r="A3332" t="s">
        <v>3334</v>
      </c>
      <c r="B3332">
        <v>34.038026500000001</v>
      </c>
      <c r="C3332">
        <v>-118.5038605</v>
      </c>
      <c r="D3332" t="str">
        <f>HYPERLINK("https://lh5.googleusercontent.com/p/AF1QipOD5xV7HDdxd_-d_kNRWnoy2QtDUZegmqEspxhv=w408-h544-k-no", "link")</f>
        <v>link</v>
      </c>
    </row>
    <row r="3333" spans="1:4" x14ac:dyDescent="0.45">
      <c r="A3333" t="s">
        <v>3335</v>
      </c>
      <c r="B3333">
        <v>34.026578399999998</v>
      </c>
      <c r="C3333">
        <v>-118.5173837</v>
      </c>
      <c r="D3333" t="s">
        <v>5</v>
      </c>
    </row>
    <row r="3334" spans="1:4" x14ac:dyDescent="0.45">
      <c r="A3334" t="s">
        <v>3336</v>
      </c>
      <c r="B3334">
        <v>34.0508776</v>
      </c>
      <c r="C3334">
        <v>-118.5010851</v>
      </c>
      <c r="D3334" t="s">
        <v>5</v>
      </c>
    </row>
    <row r="3335" spans="1:4" x14ac:dyDescent="0.45">
      <c r="A3335" t="s">
        <v>3337</v>
      </c>
      <c r="B3335">
        <v>34.024189</v>
      </c>
      <c r="C3335">
        <v>-118.51258919999999</v>
      </c>
      <c r="D3335" t="str">
        <f>HYPERLINK("https://lh5.googleusercontent.com/p/AF1QipMF8aDP3xns2hwGBKUSajBfA7aGboH-A4xvE07L=w426-h240-k-no", "link")</f>
        <v>link</v>
      </c>
    </row>
    <row r="3336" spans="1:4" x14ac:dyDescent="0.45">
      <c r="A3336" t="s">
        <v>3338</v>
      </c>
      <c r="B3336">
        <v>34.023491399999898</v>
      </c>
      <c r="C3336">
        <v>-118.5110833</v>
      </c>
      <c r="D3336" t="s">
        <v>5</v>
      </c>
    </row>
    <row r="3337" spans="1:4" x14ac:dyDescent="0.45">
      <c r="A3337" t="s">
        <v>3339</v>
      </c>
      <c r="B3337">
        <v>34.023260200000003</v>
      </c>
      <c r="C3337">
        <v>-118.511388</v>
      </c>
      <c r="D3337" t="s">
        <v>5</v>
      </c>
    </row>
    <row r="3338" spans="1:4" x14ac:dyDescent="0.45">
      <c r="A3338" t="s">
        <v>3340</v>
      </c>
      <c r="B3338">
        <v>34.019892300000002</v>
      </c>
      <c r="C3338">
        <v>-118.5062836</v>
      </c>
      <c r="D3338" t="str">
        <f>HYPERLINK("https://lh5.googleusercontent.com/p/AF1QipPOpFEd-D32yO0uYyGHMnCt_LgXjsVfhS5En803=w493-h240-k-no", "link")</f>
        <v>link</v>
      </c>
    </row>
    <row r="3339" spans="1:4" x14ac:dyDescent="0.45">
      <c r="A3339" t="s">
        <v>3341</v>
      </c>
      <c r="B3339">
        <v>34.019666199999897</v>
      </c>
      <c r="C3339">
        <v>-118.50626149999999</v>
      </c>
      <c r="D3339" t="str">
        <f>HYPERLINK("https://lh5.googleusercontent.com/p/AF1QipN9UB7WdJOJ3QCyjoaGCeghrZnCq7dZC0oT-AwH=w520-h240-k-no", "link")</f>
        <v>link</v>
      </c>
    </row>
    <row r="3340" spans="1:4" x14ac:dyDescent="0.45">
      <c r="A3340" t="s">
        <v>3342</v>
      </c>
      <c r="B3340">
        <v>34.0193735</v>
      </c>
      <c r="C3340">
        <v>-118.5061939</v>
      </c>
      <c r="D3340" t="s">
        <v>5</v>
      </c>
    </row>
    <row r="3341" spans="1:4" x14ac:dyDescent="0.45">
      <c r="A3341" t="s">
        <v>3343</v>
      </c>
      <c r="B3341">
        <v>34.018740299999997</v>
      </c>
      <c r="C3341">
        <v>-118.5056921</v>
      </c>
      <c r="D3341" t="s">
        <v>5</v>
      </c>
    </row>
    <row r="3342" spans="1:4" x14ac:dyDescent="0.45">
      <c r="A3342" t="s">
        <v>3344</v>
      </c>
      <c r="B3342">
        <v>34.019031200000001</v>
      </c>
      <c r="C3342">
        <v>-118.5054415</v>
      </c>
      <c r="D3342" t="s">
        <v>5</v>
      </c>
    </row>
    <row r="3343" spans="1:4" x14ac:dyDescent="0.45">
      <c r="A3343" t="s">
        <v>3345</v>
      </c>
      <c r="B3343">
        <v>34.018495899999998</v>
      </c>
      <c r="C3343">
        <v>-118.5048491</v>
      </c>
      <c r="D3343" t="s">
        <v>5</v>
      </c>
    </row>
    <row r="3344" spans="1:4" x14ac:dyDescent="0.45">
      <c r="A3344" t="s">
        <v>3346</v>
      </c>
      <c r="B3344">
        <v>34.017914099999999</v>
      </c>
      <c r="C3344">
        <v>-118.50436929999999</v>
      </c>
      <c r="D3344" t="s">
        <v>5</v>
      </c>
    </row>
    <row r="3345" spans="1:4" x14ac:dyDescent="0.45">
      <c r="A3345" t="s">
        <v>3347</v>
      </c>
      <c r="B3345">
        <v>34.017793099999999</v>
      </c>
      <c r="C3345">
        <v>-118.5039123</v>
      </c>
      <c r="D3345" t="s">
        <v>5</v>
      </c>
    </row>
    <row r="3346" spans="1:4" x14ac:dyDescent="0.45">
      <c r="A3346" t="s">
        <v>3348</v>
      </c>
      <c r="B3346">
        <v>34.017572199999996</v>
      </c>
      <c r="C3346">
        <v>-118.50382190000001</v>
      </c>
      <c r="D3346" t="s">
        <v>5</v>
      </c>
    </row>
    <row r="3347" spans="1:4" x14ac:dyDescent="0.45">
      <c r="A3347" t="s">
        <v>3349</v>
      </c>
      <c r="B3347">
        <v>34.017540599999997</v>
      </c>
      <c r="C3347">
        <v>-118.50379959999999</v>
      </c>
      <c r="D3347" t="s">
        <v>5</v>
      </c>
    </row>
    <row r="3348" spans="1:4" x14ac:dyDescent="0.45">
      <c r="A3348" t="s">
        <v>3350</v>
      </c>
      <c r="B3348">
        <v>34.018674799999999</v>
      </c>
      <c r="C3348">
        <v>-118.5010006</v>
      </c>
      <c r="D3348" t="str">
        <f>HYPERLINK("https://streetviewpixels-pa.googleapis.com/v1/thumbnail?panoid=LTzDajDa0MtnC0nhvcTGKA&amp;cb_client=search.gws-prod.gps&amp;w=408&amp;h=240&amp;yaw=52.973293&amp;pitch=0&amp;thumbfov=100", "link")</f>
        <v>link</v>
      </c>
    </row>
    <row r="3349" spans="1:4" x14ac:dyDescent="0.45">
      <c r="A3349" t="s">
        <v>3351</v>
      </c>
      <c r="B3349">
        <v>34.024777399999998</v>
      </c>
      <c r="C3349">
        <v>-118.49821439999999</v>
      </c>
      <c r="D3349" t="str">
        <f>HYPERLINK("https://streetviewpixels-pa.googleapis.com/v1/thumbnail?panoid=I27GswemmPNx1BiQpVfLsA&amp;cb_client=search.gws-prod.gps&amp;w=408&amp;h=240&amp;yaw=207.43779&amp;pitch=0&amp;thumbfov=100", "link")</f>
        <v>link</v>
      </c>
    </row>
    <row r="3350" spans="1:4" x14ac:dyDescent="0.45">
      <c r="A3350" t="s">
        <v>3352</v>
      </c>
      <c r="B3350">
        <v>34.018192800000001</v>
      </c>
      <c r="C3350">
        <v>-118.50055620000001</v>
      </c>
      <c r="D3350" t="str">
        <f>HYPERLINK("https://streetviewpixels-pa.googleapis.com/v1/thumbnail?panoid=oWSFNJyRhr6KeiEerVVXjg&amp;cb_client=search.gws-prod.gps&amp;w=408&amp;h=240&amp;yaw=46.42061&amp;pitch=0&amp;thumbfov=100", "link")</f>
        <v>link</v>
      </c>
    </row>
    <row r="3351" spans="1:4" x14ac:dyDescent="0.45">
      <c r="A3351" t="s">
        <v>3353</v>
      </c>
      <c r="B3351">
        <v>34.016399100000001</v>
      </c>
      <c r="C3351">
        <v>-118.5020775</v>
      </c>
      <c r="D3351" t="s">
        <v>5</v>
      </c>
    </row>
    <row r="3352" spans="1:4" x14ac:dyDescent="0.45">
      <c r="A3352" t="s">
        <v>3354</v>
      </c>
      <c r="B3352">
        <v>34.016381099999997</v>
      </c>
      <c r="C3352">
        <v>-118.502043</v>
      </c>
      <c r="D3352" t="s">
        <v>5</v>
      </c>
    </row>
    <row r="3353" spans="1:4" x14ac:dyDescent="0.45">
      <c r="A3353" t="s">
        <v>3355</v>
      </c>
      <c r="B3353">
        <v>34.0186779</v>
      </c>
      <c r="C3353">
        <v>-118.5000256</v>
      </c>
      <c r="D3353" t="str">
        <f>HYPERLINK("https://streetviewpixels-pa.googleapis.com/v1/thumbnail?panoid=UE-F5YyQWhKRCRM3fcnIrw&amp;cb_client=search.gws-prod.gps&amp;w=408&amp;h=240&amp;yaw=183.7&amp;pitch=0&amp;thumbfov=100", "link")</f>
        <v>link</v>
      </c>
    </row>
    <row r="3354" spans="1:4" x14ac:dyDescent="0.45">
      <c r="A3354" t="s">
        <v>3356</v>
      </c>
      <c r="B3354">
        <v>34.0173846</v>
      </c>
      <c r="C3354">
        <v>-118.5009407</v>
      </c>
      <c r="D3354" t="s">
        <v>5</v>
      </c>
    </row>
    <row r="3355" spans="1:4" x14ac:dyDescent="0.45">
      <c r="A3355" t="s">
        <v>3357</v>
      </c>
      <c r="B3355">
        <v>34.016185</v>
      </c>
      <c r="C3355">
        <v>-118.5020028</v>
      </c>
      <c r="D3355" t="str">
        <f>HYPERLINK("https://lh5.googleusercontent.com/p/AF1QipN_nJpvItzy3E08_kqUL-JqLpQvjXpVCda4JlHQ=w408-h306-k-no", "link")</f>
        <v>link</v>
      </c>
    </row>
    <row r="3356" spans="1:4" x14ac:dyDescent="0.45">
      <c r="A3356" t="s">
        <v>3358</v>
      </c>
      <c r="B3356">
        <v>34.016112700000001</v>
      </c>
      <c r="C3356">
        <v>-118.50199739999999</v>
      </c>
      <c r="D3356" t="str">
        <f>HYPERLINK("https://lh5.googleusercontent.com/p/AF1QipN_nJpvItzy3E08_kqUL-JqLpQvjXpVCda4JlHQ=w408-h306-k-no", "link")</f>
        <v>link</v>
      </c>
    </row>
    <row r="3357" spans="1:4" x14ac:dyDescent="0.45">
      <c r="A3357" t="s">
        <v>3359</v>
      </c>
      <c r="B3357">
        <v>34.018291599999998</v>
      </c>
      <c r="C3357">
        <v>-118.49985340000001</v>
      </c>
      <c r="D3357" t="str">
        <f>HYPERLINK("https://streetviewpixels-pa.googleapis.com/v1/thumbnail?panoid=UE-F5YyQWhKRCRM3fcnIrw&amp;cb_client=search.gws-prod.gps&amp;w=408&amp;h=240&amp;yaw=183.7&amp;pitch=0&amp;thumbfov=100", "link")</f>
        <v>link</v>
      </c>
    </row>
    <row r="3358" spans="1:4" x14ac:dyDescent="0.45">
      <c r="A3358" t="s">
        <v>3360</v>
      </c>
      <c r="B3358">
        <v>34.019429700000003</v>
      </c>
      <c r="C3358">
        <v>-118.49895239999999</v>
      </c>
      <c r="D3358" t="str">
        <f>HYPERLINK("https://streetviewpixels-pa.googleapis.com/v1/thumbnail?panoid=78QTRBrmEELzFJioDt_zKA&amp;cb_client=search.gws-prod.gps&amp;w=408&amp;h=240&amp;yaw=228.33626&amp;pitch=0&amp;thumbfov=100", "link")</f>
        <v>link</v>
      </c>
    </row>
    <row r="3359" spans="1:4" x14ac:dyDescent="0.45">
      <c r="A3359" t="s">
        <v>3361</v>
      </c>
      <c r="B3359">
        <v>34.019812499999901</v>
      </c>
      <c r="C3359">
        <v>-118.4985762</v>
      </c>
      <c r="D3359" t="str">
        <f>HYPERLINK("https://streetviewpixels-pa.googleapis.com/v1/thumbnail?panoid=-wI6pfH_PLeFSPtdqdCL9A&amp;cb_client=search.gws-prod.gps&amp;w=408&amp;h=240&amp;yaw=323.85165&amp;pitch=0&amp;thumbfov=100", "link")</f>
        <v>link</v>
      </c>
    </row>
    <row r="3360" spans="1:4" x14ac:dyDescent="0.45">
      <c r="A3360" t="s">
        <v>3362</v>
      </c>
      <c r="B3360">
        <v>34.017211599999897</v>
      </c>
      <c r="C3360">
        <v>-118.5001773</v>
      </c>
      <c r="D3360" t="str">
        <f>HYPERLINK("https://streetviewpixels-pa.googleapis.com/v1/thumbnail?panoid=iINdzrtLJa3LgUUzmLAlZQ&amp;cb_client=search.gws-prod.gps&amp;w=408&amp;h=240&amp;yaw=128.62628&amp;pitch=0&amp;thumbfov=100", "link")</f>
        <v>link</v>
      </c>
    </row>
    <row r="3361" spans="1:4" x14ac:dyDescent="0.45">
      <c r="A3361" t="s">
        <v>3363</v>
      </c>
      <c r="B3361">
        <v>34.0182845</v>
      </c>
      <c r="C3361">
        <v>-118.5049623</v>
      </c>
      <c r="D3361" t="s">
        <v>5</v>
      </c>
    </row>
    <row r="3362" spans="1:4" x14ac:dyDescent="0.45">
      <c r="A3362" t="s">
        <v>3364</v>
      </c>
      <c r="B3362">
        <v>34.018108300000002</v>
      </c>
      <c r="C3362">
        <v>-118.50424460000001</v>
      </c>
      <c r="D3362" t="s">
        <v>5</v>
      </c>
    </row>
    <row r="3363" spans="1:4" x14ac:dyDescent="0.45">
      <c r="A3363" t="s">
        <v>3365</v>
      </c>
      <c r="B3363">
        <v>34.047059099999998</v>
      </c>
      <c r="C3363">
        <v>-118.4909354</v>
      </c>
      <c r="D3363" t="s">
        <v>5</v>
      </c>
    </row>
    <row r="3364" spans="1:4" x14ac:dyDescent="0.45">
      <c r="A3364" t="s">
        <v>3366</v>
      </c>
      <c r="B3364">
        <v>34.046948</v>
      </c>
      <c r="C3364">
        <v>-118.49082129999999</v>
      </c>
      <c r="D3364" t="s">
        <v>5</v>
      </c>
    </row>
    <row r="3365" spans="1:4" x14ac:dyDescent="0.45">
      <c r="A3365" t="s">
        <v>3367</v>
      </c>
      <c r="B3365">
        <v>34.046697100000003</v>
      </c>
      <c r="C3365">
        <v>-118.4905476</v>
      </c>
      <c r="D3365" t="s">
        <v>5</v>
      </c>
    </row>
    <row r="3366" spans="1:4" x14ac:dyDescent="0.45">
      <c r="A3366" t="s">
        <v>3368</v>
      </c>
      <c r="B3366">
        <v>34.034308299999999</v>
      </c>
      <c r="C3366">
        <v>-118.4928772</v>
      </c>
      <c r="D3366" t="str">
        <f>HYPERLINK("https://streetviewpixels-pa.googleapis.com/v1/thumbnail?panoid=Aw3VqrLD0BCpH6L7FSUgxg&amp;cb_client=search.gws-prod.gps&amp;w=408&amp;h=240&amp;yaw=333.67706&amp;pitch=0&amp;thumbfov=100", "link")</f>
        <v>link</v>
      </c>
    </row>
    <row r="3367" spans="1:4" x14ac:dyDescent="0.45">
      <c r="A3367" t="s">
        <v>3369</v>
      </c>
      <c r="B3367">
        <v>34.023641599999998</v>
      </c>
      <c r="C3367">
        <v>-118.49661330000001</v>
      </c>
      <c r="D3367" t="str">
        <f>HYPERLINK("https://streetviewpixels-pa.googleapis.com/v1/thumbnail?panoid=a4_Ig31XXtsESrEVxOTSrA&amp;cb_client=search.gws-prod.gps&amp;w=408&amp;h=240&amp;yaw=309.91052&amp;pitch=0&amp;thumbfov=100", "link")</f>
        <v>link</v>
      </c>
    </row>
    <row r="3368" spans="1:4" x14ac:dyDescent="0.45">
      <c r="A3368" t="s">
        <v>3370</v>
      </c>
      <c r="B3368">
        <v>34.017053500000003</v>
      </c>
      <c r="C3368">
        <v>-118.499336</v>
      </c>
      <c r="D3368" t="str">
        <f>HYPERLINK("https://streetviewpixels-pa.googleapis.com/v1/thumbnail?panoid=rrYquF61eQQc0vpLg7SBUw&amp;cb_client=search.gws-prod.gps&amp;w=408&amp;h=240&amp;yaw=15.875858&amp;pitch=0&amp;thumbfov=100", "link")</f>
        <v>link</v>
      </c>
    </row>
    <row r="3369" spans="1:4" x14ac:dyDescent="0.45">
      <c r="A3369" t="s">
        <v>3371</v>
      </c>
      <c r="B3369">
        <v>34.016976299999897</v>
      </c>
      <c r="C3369">
        <v>-118.4992707</v>
      </c>
      <c r="D3369" t="str">
        <f>HYPERLINK("https://streetviewpixels-pa.googleapis.com/v1/thumbnail?panoid=vny_vtr4oe1iYijF4Vk1iQ&amp;cb_client=search.gws-prod.gps&amp;w=408&amp;h=240&amp;yaw=286.81702&amp;pitch=0&amp;thumbfov=100", "link")</f>
        <v>link</v>
      </c>
    </row>
    <row r="3370" spans="1:4" x14ac:dyDescent="0.45">
      <c r="A3370" t="s">
        <v>3372</v>
      </c>
      <c r="B3370">
        <v>34.018460999999903</v>
      </c>
      <c r="C3370">
        <v>-118.49807800000001</v>
      </c>
      <c r="D3370" t="str">
        <f>HYPERLINK("https://streetviewpixels-pa.googleapis.com/v1/thumbnail?panoid=E1NOYRZVr-QSh0gyF2nh1Q&amp;cb_client=search.gws-prod.gps&amp;w=408&amp;h=240&amp;yaw=276.2747&amp;pitch=0&amp;thumbfov=100", "link")</f>
        <v>link</v>
      </c>
    </row>
    <row r="3371" spans="1:4" x14ac:dyDescent="0.45">
      <c r="A3371" t="s">
        <v>3373</v>
      </c>
      <c r="B3371">
        <v>34.020765699999998</v>
      </c>
      <c r="C3371">
        <v>-118.4970788</v>
      </c>
      <c r="D3371" t="str">
        <f>HYPERLINK("https://streetviewpixels-pa.googleapis.com/v1/thumbnail?panoid=ssaR5X3gD-IagABxqwlNbA&amp;cb_client=search.gws-prod.gps&amp;w=408&amp;h=240&amp;yaw=311.97952&amp;pitch=0&amp;thumbfov=100", "link")</f>
        <v>link</v>
      </c>
    </row>
    <row r="3372" spans="1:4" x14ac:dyDescent="0.45">
      <c r="A3372" t="s">
        <v>3374</v>
      </c>
      <c r="B3372">
        <v>34.016882199999898</v>
      </c>
      <c r="C3372">
        <v>-118.49883560000001</v>
      </c>
      <c r="D3372" t="str">
        <f>HYPERLINK("https://streetviewpixels-pa.googleapis.com/v1/thumbnail?panoid=Uv8wzU-q3OVCObhqd0psUw&amp;cb_client=search.gws-prod.gps&amp;w=408&amp;h=240&amp;yaw=89.91005&amp;pitch=0&amp;thumbfov=100", "link")</f>
        <v>link</v>
      </c>
    </row>
    <row r="3373" spans="1:4" x14ac:dyDescent="0.45">
      <c r="A3373" t="s">
        <v>3375</v>
      </c>
      <c r="B3373">
        <v>34.016087499999998</v>
      </c>
      <c r="C3373">
        <v>-118.4994019</v>
      </c>
      <c r="D3373" t="str">
        <f>HYPERLINK("https://streetviewpixels-pa.googleapis.com/v1/thumbnail?panoid=-PETlj2e5bufK2e_a7e7Vg&amp;cb_client=search.gws-prod.gps&amp;w=408&amp;h=240&amp;yaw=49.253086&amp;pitch=0&amp;thumbfov=100", "link")</f>
        <v>link</v>
      </c>
    </row>
    <row r="3374" spans="1:4" x14ac:dyDescent="0.45">
      <c r="A3374" t="s">
        <v>3376</v>
      </c>
      <c r="B3374">
        <v>34.016877800000003</v>
      </c>
      <c r="C3374">
        <v>-118.4988182</v>
      </c>
      <c r="D3374" t="str">
        <f>HYPERLINK("https://streetviewpixels-pa.googleapis.com/v1/thumbnail?panoid=Uv8wzU-q3OVCObhqd0psUw&amp;cb_client=search.gws-prod.gps&amp;w=408&amp;h=240&amp;yaw=89.91005&amp;pitch=0&amp;thumbfov=100", "link")</f>
        <v>link</v>
      </c>
    </row>
    <row r="3375" spans="1:4" x14ac:dyDescent="0.45">
      <c r="A3375" t="s">
        <v>3377</v>
      </c>
      <c r="B3375">
        <v>34.0161801</v>
      </c>
      <c r="C3375">
        <v>-118.4988839</v>
      </c>
      <c r="D3375" t="str">
        <f>HYPERLINK("https://lh5.googleusercontent.com/p/AF1QipOfcKPVqSY_NOK6xAUdjRzpjKak3b6QnNsYMZxY=w408-h544-k-no", "link")</f>
        <v>link</v>
      </c>
    </row>
    <row r="3376" spans="1:4" x14ac:dyDescent="0.45">
      <c r="A3376" t="s">
        <v>3378</v>
      </c>
      <c r="B3376">
        <v>34.025567000000002</v>
      </c>
      <c r="C3376">
        <v>-118.491643</v>
      </c>
      <c r="D3376" t="str">
        <f>HYPERLINK("https://streetviewpixels-pa.googleapis.com/v1/thumbnail?panoid=JFTF08_04Uix-J3Y1abCfA&amp;cb_client=search.gws-prod.gps&amp;w=408&amp;h=240&amp;yaw=47.950592&amp;pitch=0&amp;thumbfov=100", "link")</f>
        <v>link</v>
      </c>
    </row>
    <row r="3377" spans="1:4" x14ac:dyDescent="0.45">
      <c r="A3377" t="s">
        <v>3379</v>
      </c>
      <c r="B3377">
        <v>34.026180199999999</v>
      </c>
      <c r="C3377">
        <v>-118.4904741</v>
      </c>
      <c r="D3377" t="str">
        <f>HYPERLINK("https://streetviewpixels-pa.googleapis.com/v1/thumbnail?panoid=LuAF81Pn6wk_8jMw4mwghw&amp;cb_client=search.gws-prod.gps&amp;w=408&amp;h=240&amp;yaw=322.05295&amp;pitch=0&amp;thumbfov=100", "link")</f>
        <v>link</v>
      </c>
    </row>
    <row r="3378" spans="1:4" x14ac:dyDescent="0.45">
      <c r="A3378" t="s">
        <v>3380</v>
      </c>
      <c r="B3378">
        <v>34.027670100000002</v>
      </c>
      <c r="C3378">
        <v>-118.48855759999999</v>
      </c>
      <c r="D3378" t="str">
        <f>HYPERLINK("https://streetviewpixels-pa.googleapis.com/v1/thumbnail?panoid=xWKz-dlk2j8wn2oXt3zhTw&amp;cb_client=search.gws-prod.gps&amp;w=408&amp;h=240&amp;yaw=319.07303&amp;pitch=0&amp;thumbfov=100", "link")</f>
        <v>link</v>
      </c>
    </row>
    <row r="3379" spans="1:4" x14ac:dyDescent="0.45">
      <c r="A3379" t="s">
        <v>3381</v>
      </c>
      <c r="B3379">
        <v>34.028442099999999</v>
      </c>
      <c r="C3379">
        <v>-118.48767220000001</v>
      </c>
      <c r="D3379" t="str">
        <f>HYPERLINK("https://streetviewpixels-pa.googleapis.com/v1/thumbnail?panoid=T5y9qm0zxWSMiSbmUWuj0w&amp;cb_client=search.gws-prod.gps&amp;w=408&amp;h=240&amp;yaw=214.05563&amp;pitch=0&amp;thumbfov=100", "link")</f>
        <v>link</v>
      </c>
    </row>
    <row r="3380" spans="1:4" x14ac:dyDescent="0.45">
      <c r="A3380" t="s">
        <v>3382</v>
      </c>
      <c r="B3380">
        <v>34.025245400000003</v>
      </c>
      <c r="C3380">
        <v>-118.49119039999999</v>
      </c>
      <c r="D3380" t="str">
        <f>HYPERLINK("https://streetviewpixels-pa.googleapis.com/v1/thumbnail?panoid=EXWlpIypA2rh_Y_1RbJwQg&amp;cb_client=search.gws-prod.gps&amp;w=408&amp;h=240&amp;yaw=228.55272&amp;pitch=0&amp;thumbfov=100", "link")</f>
        <v>link</v>
      </c>
    </row>
    <row r="3381" spans="1:4" x14ac:dyDescent="0.45">
      <c r="A3381" t="s">
        <v>3383</v>
      </c>
      <c r="B3381">
        <v>34.027448100000001</v>
      </c>
      <c r="C3381">
        <v>-118.488337</v>
      </c>
      <c r="D3381" t="str">
        <f>HYPERLINK("https://streetviewpixels-pa.googleapis.com/v1/thumbnail?panoid=xWKz-dlk2j8wn2oXt3zhTw&amp;cb_client=search.gws-prod.gps&amp;w=408&amp;h=240&amp;yaw=319.07303&amp;pitch=0&amp;thumbfov=100", "link")</f>
        <v>link</v>
      </c>
    </row>
    <row r="3382" spans="1:4" x14ac:dyDescent="0.45">
      <c r="A3382" t="s">
        <v>3384</v>
      </c>
      <c r="B3382">
        <v>34.027555800000002</v>
      </c>
      <c r="C3382">
        <v>-118.48820139999999</v>
      </c>
      <c r="D3382" t="str">
        <f>HYPERLINK("https://streetviewpixels-pa.googleapis.com/v1/thumbnail?panoid=1aMRm2wnNgjTR3c9Q4qy0A&amp;cb_client=search.gws-prod.gps&amp;w=408&amp;h=240&amp;yaw=214.48938&amp;pitch=0&amp;thumbfov=100", "link")</f>
        <v>link</v>
      </c>
    </row>
    <row r="3383" spans="1:4" x14ac:dyDescent="0.45">
      <c r="A3383" t="s">
        <v>3385</v>
      </c>
      <c r="B3383">
        <v>34.024369800000002</v>
      </c>
      <c r="C3383">
        <v>-118.4921263</v>
      </c>
      <c r="D3383" t="str">
        <f>HYPERLINK("https://streetviewpixels-pa.googleapis.com/v1/thumbnail?panoid=U0Pi_7m8L0rgQsTEP5bbAg&amp;cb_client=search.gws-prod.gps&amp;w=408&amp;h=240&amp;yaw=354.7618&amp;pitch=0&amp;thumbfov=100", "link")</f>
        <v>link</v>
      </c>
    </row>
    <row r="3384" spans="1:4" x14ac:dyDescent="0.45">
      <c r="A3384" t="s">
        <v>3386</v>
      </c>
      <c r="B3384">
        <v>34.024292500000001</v>
      </c>
      <c r="C3384">
        <v>-118.4916917</v>
      </c>
      <c r="D3384" t="str">
        <f>HYPERLINK("https://streetviewpixels-pa.googleapis.com/v1/thumbnail?panoid=A5gNsRaJCBxmCwihBsHZdQ&amp;cb_client=search.gws-prod.gps&amp;w=408&amp;h=240&amp;yaw=159.20787&amp;pitch=0&amp;thumbfov=100", "link")</f>
        <v>link</v>
      </c>
    </row>
    <row r="3385" spans="1:4" x14ac:dyDescent="0.45">
      <c r="A3385" t="s">
        <v>3387</v>
      </c>
      <c r="B3385">
        <v>34.030720199999998</v>
      </c>
      <c r="C3385">
        <v>-118.48517769999999</v>
      </c>
      <c r="D3385" t="s">
        <v>5</v>
      </c>
    </row>
    <row r="3386" spans="1:4" x14ac:dyDescent="0.45">
      <c r="A3386" t="s">
        <v>3388</v>
      </c>
      <c r="B3386">
        <v>34.027607799999998</v>
      </c>
      <c r="C3386">
        <v>-118.4873774</v>
      </c>
      <c r="D3386" t="str">
        <f>HYPERLINK("https://lh5.googleusercontent.com/p/AF1QipMAjHl1VMxY3bFvTUUpfNJcnxAvWKVpED5pg-X7=w408-h544-k-no", "link")</f>
        <v>link</v>
      </c>
    </row>
    <row r="3387" spans="1:4" x14ac:dyDescent="0.45">
      <c r="A3387" t="s">
        <v>3389</v>
      </c>
      <c r="B3387">
        <v>34.024479100000001</v>
      </c>
      <c r="C3387">
        <v>-118.4910801</v>
      </c>
      <c r="D3387" t="s">
        <v>5</v>
      </c>
    </row>
    <row r="3388" spans="1:4" x14ac:dyDescent="0.45">
      <c r="A3388" t="s">
        <v>3390</v>
      </c>
      <c r="B3388">
        <v>34.0244657</v>
      </c>
      <c r="C3388">
        <v>-118.49104939999999</v>
      </c>
      <c r="D3388" t="s">
        <v>5</v>
      </c>
    </row>
    <row r="3389" spans="1:4" x14ac:dyDescent="0.45">
      <c r="A3389" t="s">
        <v>3391</v>
      </c>
      <c r="B3389">
        <v>34.024689000000002</v>
      </c>
      <c r="C3389">
        <v>-118.4906388</v>
      </c>
      <c r="D3389" t="s">
        <v>5</v>
      </c>
    </row>
    <row r="3390" spans="1:4" x14ac:dyDescent="0.45">
      <c r="A3390" t="s">
        <v>3392</v>
      </c>
      <c r="B3390">
        <v>34.026596300000001</v>
      </c>
      <c r="C3390">
        <v>-118.4881515</v>
      </c>
      <c r="D3390" t="s">
        <v>5</v>
      </c>
    </row>
    <row r="3391" spans="1:4" x14ac:dyDescent="0.45">
      <c r="A3391" t="s">
        <v>3393</v>
      </c>
      <c r="B3391">
        <v>34.029509099999999</v>
      </c>
      <c r="C3391">
        <v>-118.49041339999999</v>
      </c>
      <c r="D3391" t="str">
        <f>HYPERLINK("https://streetviewpixels-pa.googleapis.com/v1/thumbnail?panoid=NCGCl7tcirSPrxlAjqwLRg&amp;cb_client=search.gws-prod.gps&amp;w=408&amp;h=240&amp;yaw=279.68848&amp;pitch=0&amp;thumbfov=100", "link")</f>
        <v>link</v>
      </c>
    </row>
    <row r="3392" spans="1:4" x14ac:dyDescent="0.45">
      <c r="A3392" t="s">
        <v>3394</v>
      </c>
      <c r="B3392">
        <v>34.018220700000001</v>
      </c>
      <c r="C3392">
        <v>-118.4977178</v>
      </c>
      <c r="D3392" t="str">
        <f>HYPERLINK("https://streetviewpixels-pa.googleapis.com/v1/thumbnail?panoid=E1NOYRZVr-QSh0gyF2nh1Q&amp;cb_client=search.gws-prod.gps&amp;w=408&amp;h=240&amp;yaw=276.2747&amp;pitch=0&amp;thumbfov=100", "link")</f>
        <v>link</v>
      </c>
    </row>
    <row r="3393" spans="1:4" x14ac:dyDescent="0.45">
      <c r="A3393" t="s">
        <v>3395</v>
      </c>
      <c r="B3393">
        <v>34.015408499999999</v>
      </c>
      <c r="C3393">
        <v>-118.499078</v>
      </c>
      <c r="D3393" t="str">
        <f>HYPERLINK("https://streetviewpixels-pa.googleapis.com/v1/thumbnail?panoid=jfjfqmlABO9-oLA7ql0KeQ&amp;cb_client=search.gws-prod.gps&amp;w=408&amp;h=240&amp;yaw=21.987154&amp;pitch=0&amp;thumbfov=100", "link")</f>
        <v>link</v>
      </c>
    </row>
    <row r="3394" spans="1:4" x14ac:dyDescent="0.45">
      <c r="A3394" t="s">
        <v>3396</v>
      </c>
      <c r="B3394">
        <v>34.2817431</v>
      </c>
      <c r="C3394">
        <v>-118.4072776</v>
      </c>
      <c r="D3394" t="str">
        <f>HYPERLINK("https://streetviewpixels-pa.googleapis.com/v1/thumbnail?panoid=qOo1AIOqJZJvNVKFniw7BA&amp;cb_client=search.gws-prod.gps&amp;w=408&amp;h=240&amp;yaw=126.84155&amp;pitch=0&amp;thumbfov=100", "link")</f>
        <v>link</v>
      </c>
    </row>
    <row r="3395" spans="1:4" x14ac:dyDescent="0.45">
      <c r="A3395" t="s">
        <v>3397</v>
      </c>
      <c r="B3395">
        <v>34.286757099999903</v>
      </c>
      <c r="C3395">
        <v>-118.4073255</v>
      </c>
      <c r="D3395" t="s">
        <v>5</v>
      </c>
    </row>
    <row r="3396" spans="1:4" x14ac:dyDescent="0.45">
      <c r="A3396" t="s">
        <v>3398</v>
      </c>
      <c r="B3396">
        <v>34.293865400000001</v>
      </c>
      <c r="C3396">
        <v>-118.41718229999999</v>
      </c>
      <c r="D3396" t="str">
        <f>HYPERLINK("https://streetviewpixels-pa.googleapis.com/v1/thumbnail?panoid=dLb_XTgejmQ5axf-7F9DTg&amp;cb_client=search.gws-prod.gps&amp;w=408&amp;h=240&amp;yaw=216.01782&amp;pitch=0&amp;thumbfov=100", "link")</f>
        <v>link</v>
      </c>
    </row>
    <row r="3397" spans="1:4" x14ac:dyDescent="0.45">
      <c r="A3397" t="s">
        <v>3399</v>
      </c>
      <c r="B3397">
        <v>34.258917099999998</v>
      </c>
      <c r="C3397">
        <v>-118.40533979999999</v>
      </c>
      <c r="D3397" t="str">
        <f>HYPERLINK("https://streetviewpixels-pa.googleapis.com/v1/thumbnail?panoid=HOY8AMvrYvK1f8Ns_fdYig&amp;cb_client=search.gws-prod.gps&amp;w=408&amp;h=240&amp;yaw=89.29924&amp;pitch=0&amp;thumbfov=100", "link")</f>
        <v>link</v>
      </c>
    </row>
    <row r="3398" spans="1:4" x14ac:dyDescent="0.45">
      <c r="A3398" t="s">
        <v>3400</v>
      </c>
      <c r="B3398">
        <v>34.268119499999997</v>
      </c>
      <c r="C3398">
        <v>-118.3998344</v>
      </c>
      <c r="D3398" t="s">
        <v>5</v>
      </c>
    </row>
    <row r="3399" spans="1:4" x14ac:dyDescent="0.45">
      <c r="A3399" t="s">
        <v>3401</v>
      </c>
      <c r="B3399">
        <v>34.2677373</v>
      </c>
      <c r="C3399">
        <v>-118.39467620000001</v>
      </c>
      <c r="D3399" t="s">
        <v>5</v>
      </c>
    </row>
    <row r="3400" spans="1:4" x14ac:dyDescent="0.45">
      <c r="A3400" t="s">
        <v>3402</v>
      </c>
      <c r="B3400">
        <v>34.271312100000003</v>
      </c>
      <c r="C3400">
        <v>-118.3909333</v>
      </c>
      <c r="D3400" t="s">
        <v>5</v>
      </c>
    </row>
    <row r="3401" spans="1:4" x14ac:dyDescent="0.45">
      <c r="A3401" t="s">
        <v>3403</v>
      </c>
      <c r="B3401">
        <v>34.2730733</v>
      </c>
      <c r="C3401">
        <v>-118.3935439</v>
      </c>
      <c r="D3401" t="str">
        <f>HYPERLINK("https://lh5.googleusercontent.com/p/AF1QipMQwYT4l-2legLunrNfQt1LqgkkH1ew_3_idZ4M=w408-h306-k-no", "link")</f>
        <v>link</v>
      </c>
    </row>
    <row r="3402" spans="1:4" x14ac:dyDescent="0.45">
      <c r="A3402" t="s">
        <v>3404</v>
      </c>
      <c r="B3402">
        <v>34.285336700000002</v>
      </c>
      <c r="C3402">
        <v>-118.39314709999999</v>
      </c>
      <c r="D3402" t="str">
        <f>HYPERLINK("https://streetviewpixels-pa.googleapis.com/v1/thumbnail?panoid=-LHoh8pmlF66aeV0zJfw4Q&amp;cb_client=search.gws-prod.gps&amp;w=408&amp;h=240&amp;yaw=319.58777&amp;pitch=0&amp;thumbfov=100", "link")</f>
        <v>link</v>
      </c>
    </row>
    <row r="3403" spans="1:4" x14ac:dyDescent="0.45">
      <c r="A3403" t="s">
        <v>3405</v>
      </c>
      <c r="B3403">
        <v>34.239963099999997</v>
      </c>
      <c r="C3403">
        <v>-118.3782219</v>
      </c>
      <c r="D3403" t="str">
        <f>HYPERLINK("https://lh5.googleusercontent.com/p/AF1QipOR46Q-S533LPjdJE6PUv1k3-NlotWYGwN1gFJP=w408-h266-k-no", "link")</f>
        <v>link</v>
      </c>
    </row>
    <row r="3404" spans="1:4" x14ac:dyDescent="0.45">
      <c r="A3404" t="s">
        <v>3406</v>
      </c>
      <c r="B3404">
        <v>34.242960199999899</v>
      </c>
      <c r="C3404">
        <v>-118.37313880000001</v>
      </c>
      <c r="D3404" t="str">
        <f>HYPERLINK("https://lh5.googleusercontent.com/p/AF1QipPypSeObFP_iDO3J9faSK5wiqqrrKhvOGCyg87f=w408-h839-k-no", "link")</f>
        <v>link</v>
      </c>
    </row>
    <row r="3405" spans="1:4" x14ac:dyDescent="0.45">
      <c r="A3405" t="s">
        <v>3407</v>
      </c>
      <c r="B3405">
        <v>34.234426299999903</v>
      </c>
      <c r="C3405">
        <v>-118.3726997</v>
      </c>
      <c r="D3405" t="str">
        <f>HYPERLINK("https://streetviewpixels-pa.googleapis.com/v1/thumbnail?panoid=yGJon-1VMXv_JsKnYLZdbQ&amp;cb_client=search.gws-prod.gps&amp;w=408&amp;h=240&amp;yaw=172.13841&amp;pitch=0&amp;thumbfov=100", "link")</f>
        <v>link</v>
      </c>
    </row>
    <row r="3406" spans="1:4" x14ac:dyDescent="0.45">
      <c r="A3406" t="s">
        <v>3408</v>
      </c>
      <c r="B3406">
        <v>34.216978699999999</v>
      </c>
      <c r="C3406">
        <v>-118.4846628</v>
      </c>
      <c r="D3406" t="s">
        <v>5</v>
      </c>
    </row>
    <row r="3407" spans="1:4" x14ac:dyDescent="0.45">
      <c r="A3407" t="s">
        <v>3409</v>
      </c>
      <c r="B3407">
        <v>34.243486699999998</v>
      </c>
      <c r="C3407">
        <v>-118.4500542</v>
      </c>
      <c r="D3407" t="str">
        <f>HYPERLINK("https://streetviewpixels-pa.googleapis.com/v1/thumbnail?panoid=H11Gd_p0zMcn27zpO5VVFg&amp;cb_client=search.gws-prod.gps&amp;w=408&amp;h=240&amp;yaw=77.425674&amp;pitch=0&amp;thumbfov=100", "link")</f>
        <v>link</v>
      </c>
    </row>
    <row r="3408" spans="1:4" x14ac:dyDescent="0.45">
      <c r="A3408" t="s">
        <v>3410</v>
      </c>
      <c r="B3408">
        <v>34.220148799999997</v>
      </c>
      <c r="C3408">
        <v>-118.4516764</v>
      </c>
      <c r="D3408" t="s">
        <v>5</v>
      </c>
    </row>
    <row r="3409" spans="1:4" x14ac:dyDescent="0.45">
      <c r="A3409" t="s">
        <v>3411</v>
      </c>
      <c r="B3409">
        <v>34.221133500000001</v>
      </c>
      <c r="C3409">
        <v>-118.4295449</v>
      </c>
      <c r="D3409" t="s">
        <v>5</v>
      </c>
    </row>
    <row r="3410" spans="1:4" x14ac:dyDescent="0.45">
      <c r="A3410" t="s">
        <v>3412</v>
      </c>
      <c r="B3410">
        <v>34.218568300000001</v>
      </c>
      <c r="C3410">
        <v>-118.42927109999999</v>
      </c>
      <c r="D3410" t="s">
        <v>5</v>
      </c>
    </row>
    <row r="3411" spans="1:4" x14ac:dyDescent="0.45">
      <c r="A3411" t="s">
        <v>3413</v>
      </c>
      <c r="B3411">
        <v>34.216971800000003</v>
      </c>
      <c r="C3411">
        <v>-118.42927109999999</v>
      </c>
      <c r="D3411" t="s">
        <v>5</v>
      </c>
    </row>
    <row r="3412" spans="1:4" x14ac:dyDescent="0.45">
      <c r="A3412" t="s">
        <v>3414</v>
      </c>
      <c r="B3412">
        <v>34.221015199999997</v>
      </c>
      <c r="C3412">
        <v>-118.42256260000001</v>
      </c>
      <c r="D3412" t="s">
        <v>5</v>
      </c>
    </row>
    <row r="3413" spans="1:4" x14ac:dyDescent="0.45">
      <c r="A3413" t="s">
        <v>3415</v>
      </c>
      <c r="B3413">
        <v>34.216014000000001</v>
      </c>
      <c r="C3413">
        <v>-118.42927109999999</v>
      </c>
      <c r="D3413" t="s">
        <v>5</v>
      </c>
    </row>
    <row r="3414" spans="1:4" x14ac:dyDescent="0.45">
      <c r="A3414" t="s">
        <v>3416</v>
      </c>
      <c r="B3414">
        <v>34.204974100000001</v>
      </c>
      <c r="C3414">
        <v>-118.42123410000001</v>
      </c>
      <c r="D3414" t="str">
        <f>HYPERLINK("https://streetviewpixels-pa.googleapis.com/v1/thumbnail?panoid=7c2djBjnB9DfYexDz492cw&amp;cb_client=search.gws-prod.gps&amp;w=408&amp;h=240&amp;yaw=309.633&amp;pitch=0&amp;thumbfov=100", "link")</f>
        <v>link</v>
      </c>
    </row>
    <row r="3415" spans="1:4" x14ac:dyDescent="0.45">
      <c r="A3415" t="s">
        <v>3417</v>
      </c>
      <c r="B3415">
        <v>34.230699399999999</v>
      </c>
      <c r="C3415">
        <v>-118.3739181</v>
      </c>
      <c r="D3415" t="str">
        <f>HYPERLINK("https://lh5.googleusercontent.com/p/AF1QipPdMEJSQIhfCPr0o4Yp-ABbSKgEwBgO5LRFFlp8=w408-h304-k-no", "link")</f>
        <v>link</v>
      </c>
    </row>
    <row r="3416" spans="1:4" x14ac:dyDescent="0.45">
      <c r="A3416" t="s">
        <v>3418</v>
      </c>
      <c r="B3416">
        <v>34.232033299999998</v>
      </c>
      <c r="C3416">
        <v>-118.3692345</v>
      </c>
      <c r="D3416" t="str">
        <f>HYPERLINK("https://streetviewpixels-pa.googleapis.com/v1/thumbnail?panoid=9batpqZN_RQ7ip6DDT3Xew&amp;cb_client=search.gws-prod.gps&amp;w=408&amp;h=240&amp;yaw=224.24509&amp;pitch=0&amp;thumbfov=100", "link")</f>
        <v>link</v>
      </c>
    </row>
    <row r="3417" spans="1:4" x14ac:dyDescent="0.45">
      <c r="A3417" t="s">
        <v>3419</v>
      </c>
      <c r="B3417">
        <v>33.744085699999999</v>
      </c>
      <c r="C3417">
        <v>-118.4103315</v>
      </c>
      <c r="D3417" t="s">
        <v>5</v>
      </c>
    </row>
    <row r="3418" spans="1:4" x14ac:dyDescent="0.45">
      <c r="A3418" t="s">
        <v>3420</v>
      </c>
      <c r="B3418">
        <v>33.741450899999997</v>
      </c>
      <c r="C3418">
        <v>-118.40257250000001</v>
      </c>
      <c r="D3418" t="s">
        <v>5</v>
      </c>
    </row>
    <row r="3419" spans="1:4" x14ac:dyDescent="0.45">
      <c r="A3419" t="s">
        <v>3421</v>
      </c>
      <c r="B3419">
        <v>33.739843200000003</v>
      </c>
      <c r="C3419">
        <v>-118.3963194</v>
      </c>
      <c r="D3419" t="s">
        <v>5</v>
      </c>
    </row>
    <row r="3420" spans="1:4" x14ac:dyDescent="0.45">
      <c r="A3420" t="s">
        <v>3422</v>
      </c>
      <c r="B3420">
        <v>33.7439015</v>
      </c>
      <c r="C3420">
        <v>-118.3813475</v>
      </c>
      <c r="D3420" t="s">
        <v>5</v>
      </c>
    </row>
    <row r="3421" spans="1:4" x14ac:dyDescent="0.45">
      <c r="A3421" t="s">
        <v>3423</v>
      </c>
      <c r="B3421">
        <v>33.743403200000003</v>
      </c>
      <c r="C3421">
        <v>-118.379727</v>
      </c>
      <c r="D3421" t="s">
        <v>5</v>
      </c>
    </row>
    <row r="3422" spans="1:4" x14ac:dyDescent="0.45">
      <c r="A3422" t="s">
        <v>3424</v>
      </c>
      <c r="B3422">
        <v>33.788656000000003</v>
      </c>
      <c r="C3422">
        <v>-118.410928</v>
      </c>
      <c r="D3422" t="str">
        <f>HYPERLINK("https://lh5.googleusercontent.com/p/AF1QipOtsVbfc15Z5OuirCFk_Q44iBECmnL6BOpwnwZV=w408-h306-k-no", "link")</f>
        <v>link</v>
      </c>
    </row>
    <row r="3423" spans="1:4" x14ac:dyDescent="0.45">
      <c r="A3423" t="s">
        <v>3425</v>
      </c>
      <c r="B3423">
        <v>33.788761800000003</v>
      </c>
      <c r="C3423">
        <v>-118.4103315</v>
      </c>
      <c r="D3423" t="str">
        <f>HYPERLINK("https://lh5.googleusercontent.com/p/AF1QipNInD7mkhIs4ED7LqfQ9zEO3eXp-_DtaoavB0pk=w424-h240-k-no", "link")</f>
        <v>link</v>
      </c>
    </row>
    <row r="3424" spans="1:4" x14ac:dyDescent="0.45">
      <c r="A3424" t="s">
        <v>3426</v>
      </c>
      <c r="B3424">
        <v>33.801996199999998</v>
      </c>
      <c r="C3424">
        <v>-118.39668450000001</v>
      </c>
      <c r="D3424" t="str">
        <f>HYPERLINK("https://lh5.googleusercontent.com/p/AF1QipOoZg7oq4xDP9i468mS91hSTasoNK93KfZFsvNA=w408-h240-k-no-pi-0-ya355-ro-0-fo100", "link")</f>
        <v>link</v>
      </c>
    </row>
    <row r="3425" spans="1:4" x14ac:dyDescent="0.45">
      <c r="A3425" t="s">
        <v>3427</v>
      </c>
      <c r="B3425">
        <v>33.800095499999998</v>
      </c>
      <c r="C3425">
        <v>-118.392257</v>
      </c>
      <c r="D3425" t="s">
        <v>5</v>
      </c>
    </row>
    <row r="3426" spans="1:4" x14ac:dyDescent="0.45">
      <c r="A3426" t="s">
        <v>3428</v>
      </c>
      <c r="B3426">
        <v>33.804011600000003</v>
      </c>
      <c r="C3426">
        <v>-118.39070510000001</v>
      </c>
      <c r="D3426" t="s">
        <v>5</v>
      </c>
    </row>
    <row r="3427" spans="1:4" x14ac:dyDescent="0.45">
      <c r="A3427" t="s">
        <v>3429</v>
      </c>
      <c r="B3427">
        <v>33.804028500000001</v>
      </c>
      <c r="C3427">
        <v>-118.3904769</v>
      </c>
      <c r="D3427" t="s">
        <v>5</v>
      </c>
    </row>
    <row r="3428" spans="1:4" x14ac:dyDescent="0.45">
      <c r="A3428" t="s">
        <v>3430</v>
      </c>
      <c r="B3428">
        <v>33.767618400000003</v>
      </c>
      <c r="C3428">
        <v>-118.3917549</v>
      </c>
      <c r="D3428" t="s">
        <v>5</v>
      </c>
    </row>
    <row r="3429" spans="1:4" x14ac:dyDescent="0.45">
      <c r="A3429" t="s">
        <v>3431</v>
      </c>
      <c r="B3429">
        <v>33.810906799999998</v>
      </c>
      <c r="C3429">
        <v>-118.3900661</v>
      </c>
      <c r="D3429" t="s">
        <v>5</v>
      </c>
    </row>
    <row r="3430" spans="1:4" x14ac:dyDescent="0.45">
      <c r="A3430" t="s">
        <v>3432</v>
      </c>
      <c r="B3430">
        <v>33.8125973</v>
      </c>
      <c r="C3430">
        <v>-118.3907694</v>
      </c>
      <c r="D3430" t="str">
        <f>HYPERLINK("https://lh5.googleusercontent.com/p/AF1QipMvYreHp3reOrtQkXC4XwIZASQ2SR1y-jE7w12k=w408-h306-k-no", "link")</f>
        <v>link</v>
      </c>
    </row>
    <row r="3431" spans="1:4" x14ac:dyDescent="0.45">
      <c r="A3431" t="s">
        <v>3433</v>
      </c>
      <c r="B3431">
        <v>33.814059800000003</v>
      </c>
      <c r="C3431">
        <v>-118.3907368</v>
      </c>
      <c r="D3431" t="str">
        <f>HYPERLINK("https://streetviewpixels-pa.googleapis.com/v1/thumbnail?panoid=go9SDOZbIj4mGo-w-OM9Cw&amp;cb_client=search.gws-prod.gps&amp;w=408&amp;h=240&amp;yaw=229.78494&amp;pitch=0&amp;thumbfov=100", "link")</f>
        <v>link</v>
      </c>
    </row>
    <row r="3432" spans="1:4" x14ac:dyDescent="0.45">
      <c r="A3432" t="s">
        <v>3434</v>
      </c>
      <c r="B3432">
        <v>33.8153121</v>
      </c>
      <c r="C3432">
        <v>-118.3903881</v>
      </c>
      <c r="D3432" t="s">
        <v>5</v>
      </c>
    </row>
    <row r="3433" spans="1:4" x14ac:dyDescent="0.45">
      <c r="A3433" t="s">
        <v>3435</v>
      </c>
      <c r="B3433">
        <v>33.755792300000003</v>
      </c>
      <c r="C3433">
        <v>-118.4151693</v>
      </c>
      <c r="D3433" t="s">
        <v>5</v>
      </c>
    </row>
    <row r="3434" spans="1:4" x14ac:dyDescent="0.45">
      <c r="A3434" t="s">
        <v>3436</v>
      </c>
      <c r="B3434">
        <v>33.817833700000001</v>
      </c>
      <c r="C3434">
        <v>-118.38634399999999</v>
      </c>
      <c r="D3434" t="s">
        <v>5</v>
      </c>
    </row>
    <row r="3435" spans="1:4" x14ac:dyDescent="0.45">
      <c r="A3435" t="s">
        <v>3437</v>
      </c>
      <c r="B3435">
        <v>33.817849699999996</v>
      </c>
      <c r="C3435">
        <v>-118.3861861</v>
      </c>
      <c r="D3435" t="s">
        <v>5</v>
      </c>
    </row>
    <row r="3436" spans="1:4" x14ac:dyDescent="0.45">
      <c r="A3436" t="s">
        <v>3438</v>
      </c>
      <c r="B3436">
        <v>33.751546099999999</v>
      </c>
      <c r="C3436">
        <v>-118.3945164</v>
      </c>
      <c r="D3436" t="s">
        <v>5</v>
      </c>
    </row>
    <row r="3437" spans="1:4" x14ac:dyDescent="0.45">
      <c r="A3437" t="s">
        <v>3439</v>
      </c>
      <c r="B3437">
        <v>33.745250200000001</v>
      </c>
      <c r="C3437">
        <v>-118.41128999999999</v>
      </c>
      <c r="D3437" t="s">
        <v>5</v>
      </c>
    </row>
    <row r="3438" spans="1:4" x14ac:dyDescent="0.45">
      <c r="A3438" t="s">
        <v>3440</v>
      </c>
      <c r="B3438">
        <v>33.744830499999999</v>
      </c>
      <c r="C3438">
        <v>-118.4102402</v>
      </c>
      <c r="D3438" t="s">
        <v>5</v>
      </c>
    </row>
    <row r="3439" spans="1:4" x14ac:dyDescent="0.45">
      <c r="A3439" t="s">
        <v>3441</v>
      </c>
      <c r="B3439">
        <v>33.738634099999999</v>
      </c>
      <c r="C3439">
        <v>-118.3488886</v>
      </c>
      <c r="D3439" t="s">
        <v>5</v>
      </c>
    </row>
    <row r="3440" spans="1:4" x14ac:dyDescent="0.45">
      <c r="A3440" t="s">
        <v>3442</v>
      </c>
      <c r="B3440">
        <v>33.737910499999998</v>
      </c>
      <c r="C3440">
        <v>-118.3482494</v>
      </c>
      <c r="D3440" t="s">
        <v>5</v>
      </c>
    </row>
    <row r="3441" spans="1:4" x14ac:dyDescent="0.45">
      <c r="A3441" t="s">
        <v>3443</v>
      </c>
      <c r="B3441">
        <v>34.199840199999997</v>
      </c>
      <c r="C3441">
        <v>-118.4515549</v>
      </c>
      <c r="D3441" t="str">
        <f>HYPERLINK("https://streetviewpixels-pa.googleapis.com/v1/thumbnail?panoid=1Z4lZmORNqZ1ZfcGw-rDWg&amp;cb_client=search.gws-prod.gps&amp;w=408&amp;h=240&amp;yaw=127.99786&amp;pitch=0&amp;thumbfov=100", "link")</f>
        <v>link</v>
      </c>
    </row>
    <row r="3442" spans="1:4" x14ac:dyDescent="0.45">
      <c r="A3442" t="s">
        <v>3444</v>
      </c>
      <c r="B3442">
        <v>34.194512600000003</v>
      </c>
      <c r="C3442">
        <v>-118.461395</v>
      </c>
      <c r="D3442" t="str">
        <f>HYPERLINK("https://streetviewpixels-pa.googleapis.com/v1/thumbnail?panoid=b32lAxcuREPX0Ad_xAk-2A&amp;cb_client=search.gws-prod.gps&amp;w=408&amp;h=240&amp;yaw=69.72211&amp;pitch=0&amp;thumbfov=100", "link")</f>
        <v>link</v>
      </c>
    </row>
    <row r="3443" spans="1:4" x14ac:dyDescent="0.45">
      <c r="A3443" t="s">
        <v>3445</v>
      </c>
      <c r="B3443">
        <v>34.195389400000003</v>
      </c>
      <c r="C3443">
        <v>-118.4620338</v>
      </c>
      <c r="D3443" t="s">
        <v>5</v>
      </c>
    </row>
    <row r="3444" spans="1:4" x14ac:dyDescent="0.45">
      <c r="A3444" t="s">
        <v>3446</v>
      </c>
      <c r="B3444">
        <v>34.194285399999998</v>
      </c>
      <c r="C3444">
        <v>-118.463722</v>
      </c>
      <c r="D3444" t="s">
        <v>5</v>
      </c>
    </row>
    <row r="3445" spans="1:4" x14ac:dyDescent="0.45">
      <c r="A3445" t="s">
        <v>3447</v>
      </c>
      <c r="B3445">
        <v>34.195338100000001</v>
      </c>
      <c r="C3445">
        <v>-118.4647713</v>
      </c>
      <c r="D3445" t="str">
        <f>HYPERLINK("https://streetviewpixels-pa.googleapis.com/v1/thumbnail?panoid=AsG9znbqNpM3CHP_3oMmKw&amp;cb_client=search.gws-prod.gps&amp;w=408&amp;h=240&amp;yaw=319.89905&amp;pitch=0&amp;thumbfov=100", "link")</f>
        <v>link</v>
      </c>
    </row>
    <row r="3446" spans="1:4" x14ac:dyDescent="0.45">
      <c r="A3446" t="s">
        <v>3448</v>
      </c>
      <c r="B3446">
        <v>34.187612100000003</v>
      </c>
      <c r="C3446">
        <v>-118.4522047</v>
      </c>
      <c r="D3446" t="s">
        <v>5</v>
      </c>
    </row>
    <row r="3447" spans="1:4" x14ac:dyDescent="0.45">
      <c r="A3447" t="s">
        <v>3449</v>
      </c>
      <c r="B3447">
        <v>34.194490399999999</v>
      </c>
      <c r="C3447">
        <v>-118.46542599999999</v>
      </c>
      <c r="D3447" t="s">
        <v>5</v>
      </c>
    </row>
    <row r="3448" spans="1:4" x14ac:dyDescent="0.45">
      <c r="A3448" t="s">
        <v>3450</v>
      </c>
      <c r="B3448">
        <v>34.1873784</v>
      </c>
      <c r="C3448">
        <v>-118.446972</v>
      </c>
      <c r="D3448" t="str">
        <f>HYPERLINK("https://lh5.googleusercontent.com/p/AF1QipM14v4qiKdSsHS6G_fVq2i-1-l-rg48oRKCC_gc=w408-h544-k-no", "link")</f>
        <v>link</v>
      </c>
    </row>
    <row r="3449" spans="1:4" x14ac:dyDescent="0.45">
      <c r="A3449" t="s">
        <v>3451</v>
      </c>
      <c r="B3449">
        <v>34.200589200000003</v>
      </c>
      <c r="C3449">
        <v>-118.46748820000001</v>
      </c>
      <c r="D3449" t="str">
        <f>HYPERLINK("https://streetviewpixels-pa.googleapis.com/v1/thumbnail?panoid=sCn2X4ZNkMXn0QoJ-5kNKw&amp;cb_client=search.gws-prod.gps&amp;w=408&amp;h=240&amp;yaw=42.531734&amp;pitch=0&amp;thumbfov=100", "link")</f>
        <v>link</v>
      </c>
    </row>
    <row r="3450" spans="1:4" x14ac:dyDescent="0.45">
      <c r="A3450" t="s">
        <v>3452</v>
      </c>
      <c r="B3450">
        <v>34.186500600000002</v>
      </c>
      <c r="C3450">
        <v>-118.4529289</v>
      </c>
      <c r="D3450" t="str">
        <f>HYPERLINK("https://streetviewpixels-pa.googleapis.com/v1/thumbnail?panoid=U98gCwuFR3bnwG-nnysJtg&amp;cb_client=search.gws-prod.gps&amp;w=408&amp;h=240&amp;yaw=341.77814&amp;pitch=0&amp;thumbfov=100", "link")</f>
        <v>link</v>
      </c>
    </row>
    <row r="3451" spans="1:4" x14ac:dyDescent="0.45">
      <c r="A3451" t="s">
        <v>3453</v>
      </c>
      <c r="B3451">
        <v>34.185882700000001</v>
      </c>
      <c r="C3451">
        <v>-118.44829989999999</v>
      </c>
      <c r="D3451" t="str">
        <f>HYPERLINK("https://streetviewpixels-pa.googleapis.com/v1/thumbnail?panoid=VKzKe4wMn0WpWM0IbV1aow&amp;cb_client=search.gws-prod.gps&amp;w=408&amp;h=240&amp;yaw=309.19116&amp;pitch=0&amp;thumbfov=100", "link")</f>
        <v>link</v>
      </c>
    </row>
    <row r="3452" spans="1:4" x14ac:dyDescent="0.45">
      <c r="A3452" t="s">
        <v>3454</v>
      </c>
      <c r="B3452">
        <v>34.185955100000001</v>
      </c>
      <c r="C3452">
        <v>-118.44732860000001</v>
      </c>
      <c r="D3452" t="str">
        <f>HYPERLINK("https://streetviewpixels-pa.googleapis.com/v1/thumbnail?panoid=1cFOzBmESGiZkyAeye1kIg&amp;cb_client=search.gws-prod.gps&amp;w=408&amp;h=240&amp;yaw=1.9199098&amp;pitch=0&amp;thumbfov=100", "link")</f>
        <v>link</v>
      </c>
    </row>
    <row r="3453" spans="1:4" x14ac:dyDescent="0.45">
      <c r="A3453" t="s">
        <v>3455</v>
      </c>
      <c r="B3453">
        <v>34.1838962</v>
      </c>
      <c r="C3453">
        <v>-118.44690369999999</v>
      </c>
      <c r="D3453" t="str">
        <f>HYPERLINK("https://lh5.googleusercontent.com/p/AF1QipPr77bKrfO7svvvwbpK99wyTN8-yhn2cOEfb6T0=w408-h306-k-no", "link")</f>
        <v>link</v>
      </c>
    </row>
    <row r="3454" spans="1:4" x14ac:dyDescent="0.45">
      <c r="A3454" t="s">
        <v>3456</v>
      </c>
      <c r="B3454">
        <v>34.184335300000001</v>
      </c>
      <c r="C3454">
        <v>-118.4441417</v>
      </c>
      <c r="D3454" t="str">
        <f>HYPERLINK("https://streetviewpixels-pa.googleapis.com/v1/thumbnail?panoid=xJmxDaeHi5nHLvdwuHLaEw&amp;cb_client=search.gws-prod.gps&amp;w=408&amp;h=240&amp;yaw=98.24149&amp;pitch=0&amp;thumbfov=100", "link")</f>
        <v>link</v>
      </c>
    </row>
    <row r="3455" spans="1:4" x14ac:dyDescent="0.45">
      <c r="A3455" t="s">
        <v>3457</v>
      </c>
      <c r="B3455">
        <v>34.181998</v>
      </c>
      <c r="C3455">
        <v>-118.4464339</v>
      </c>
      <c r="D3455" t="str">
        <f>HYPERLINK("https://streetviewpixels-pa.googleapis.com/v1/thumbnail?panoid=o5wIUrwuCOYH4V1qxMTPJA&amp;cb_client=search.gws-prod.gps&amp;w=408&amp;h=240&amp;yaw=76.70843&amp;pitch=0&amp;thumbfov=100", "link")</f>
        <v>link</v>
      </c>
    </row>
    <row r="3456" spans="1:4" x14ac:dyDescent="0.45">
      <c r="A3456" t="s">
        <v>3458</v>
      </c>
      <c r="B3456">
        <v>34.180326299999997</v>
      </c>
      <c r="C3456">
        <v>-118.4480563</v>
      </c>
      <c r="D3456" t="str">
        <f>HYPERLINK("https://lh5.googleusercontent.com/p/AF1QipPR-ogEEnpB7y5HQx8tB64Lm-ubcfX_d2KGSKEi=w408-h306-k-no", "link")</f>
        <v>link</v>
      </c>
    </row>
    <row r="3457" spans="1:4" x14ac:dyDescent="0.45">
      <c r="A3457" t="s">
        <v>3459</v>
      </c>
      <c r="B3457">
        <v>34.180401699999997</v>
      </c>
      <c r="C3457">
        <v>-118.44304</v>
      </c>
      <c r="D3457" t="str">
        <f>HYPERLINK("https://streetviewpixels-pa.googleapis.com/v1/thumbnail?panoid=BDk5HiNlh8ifBjxgZpnTgQ&amp;cb_client=search.gws-prod.gps&amp;w=408&amp;h=240&amp;yaw=16.38692&amp;pitch=0&amp;thumbfov=100", "link")</f>
        <v>link</v>
      </c>
    </row>
    <row r="3458" spans="1:4" x14ac:dyDescent="0.45">
      <c r="A3458" t="s">
        <v>3460</v>
      </c>
      <c r="B3458">
        <v>34.180077099999998</v>
      </c>
      <c r="C3458">
        <v>-118.4430727</v>
      </c>
      <c r="D3458" t="str">
        <f>HYPERLINK("https://streetviewpixels-pa.googleapis.com/v1/thumbnail?panoid=4nj_mbU-evBe07bURBLpVA&amp;cb_client=search.gws-prod.gps&amp;w=408&amp;h=240&amp;yaw=164.15224&amp;pitch=0&amp;thumbfov=100", "link")</f>
        <v>link</v>
      </c>
    </row>
    <row r="3459" spans="1:4" x14ac:dyDescent="0.45">
      <c r="A3459" t="s">
        <v>3461</v>
      </c>
      <c r="B3459">
        <v>34.179953099999999</v>
      </c>
      <c r="C3459">
        <v>-118.4401884</v>
      </c>
      <c r="D3459" t="str">
        <f>HYPERLINK("https://streetviewpixels-pa.googleapis.com/v1/thumbnail?panoid=zN8ur0fyYSsdGlxLPJqzTA&amp;cb_client=search.gws-prod.gps&amp;w=408&amp;h=240&amp;yaw=289.78152&amp;pitch=0&amp;thumbfov=100", "link")</f>
        <v>link</v>
      </c>
    </row>
    <row r="3460" spans="1:4" x14ac:dyDescent="0.45">
      <c r="A3460" t="s">
        <v>3462</v>
      </c>
      <c r="B3460">
        <v>34.182165699999999</v>
      </c>
      <c r="C3460">
        <v>-118.46192499999999</v>
      </c>
      <c r="D3460" t="str">
        <f>HYPERLINK("https://streetviewpixels-pa.googleapis.com/v1/thumbnail?panoid=j03g1XjgdvFCeX6AkaOonw&amp;cb_client=search.gws-prod.gps&amp;w=408&amp;h=240&amp;yaw=244.09425&amp;pitch=0&amp;thumbfov=100", "link")</f>
        <v>link</v>
      </c>
    </row>
    <row r="3461" spans="1:4" x14ac:dyDescent="0.45">
      <c r="A3461" t="s">
        <v>3463</v>
      </c>
      <c r="B3461">
        <v>34.178895699999998</v>
      </c>
      <c r="C3461">
        <v>-118.4652991</v>
      </c>
      <c r="D3461" t="s">
        <v>5</v>
      </c>
    </row>
    <row r="3462" spans="1:4" x14ac:dyDescent="0.45">
      <c r="A3462" t="s">
        <v>3464</v>
      </c>
      <c r="B3462">
        <v>34.174995000000003</v>
      </c>
      <c r="C3462">
        <v>-118.466483</v>
      </c>
      <c r="D3462" t="str">
        <f>HYPERLINK("https://streetviewpixels-pa.googleapis.com/v1/thumbnail?panoid=x6oc8aVD_A_yj3_vErt52Q&amp;cb_client=search.gws-prod.gps&amp;w=408&amp;h=240&amp;yaw=263.53726&amp;pitch=0&amp;thumbfov=100", "link")</f>
        <v>link</v>
      </c>
    </row>
    <row r="3463" spans="1:4" x14ac:dyDescent="0.45">
      <c r="A3463" t="s">
        <v>3465</v>
      </c>
      <c r="B3463">
        <v>34.180012499999997</v>
      </c>
      <c r="C3463">
        <v>-118.4722081</v>
      </c>
      <c r="D3463" t="s">
        <v>5</v>
      </c>
    </row>
    <row r="3464" spans="1:4" x14ac:dyDescent="0.45">
      <c r="A3464" t="s">
        <v>3466</v>
      </c>
      <c r="B3464">
        <v>34.164588199999997</v>
      </c>
      <c r="C3464">
        <v>-118.44806079999999</v>
      </c>
      <c r="D3464" t="s">
        <v>5</v>
      </c>
    </row>
    <row r="3465" spans="1:4" x14ac:dyDescent="0.45">
      <c r="A3465" t="s">
        <v>3467</v>
      </c>
      <c r="B3465">
        <v>34.166398999999998</v>
      </c>
      <c r="C3465">
        <v>-118.457044</v>
      </c>
      <c r="D3465" t="str">
        <f>HYPERLINK("https://streetviewpixels-pa.googleapis.com/v1/thumbnail?panoid=D4B-Tx8laow6fX0gZgi2LA&amp;cb_client=search.gws-prod.gps&amp;w=408&amp;h=240&amp;yaw=172.85703&amp;pitch=0&amp;thumbfov=100", "link")</f>
        <v>link</v>
      </c>
    </row>
    <row r="3466" spans="1:4" x14ac:dyDescent="0.45">
      <c r="A3466" t="s">
        <v>3468</v>
      </c>
      <c r="B3466">
        <v>34.196339999999999</v>
      </c>
      <c r="C3466">
        <v>-118.4861226</v>
      </c>
      <c r="D3466" t="s">
        <v>5</v>
      </c>
    </row>
    <row r="3467" spans="1:4" x14ac:dyDescent="0.45">
      <c r="A3467" t="s">
        <v>3469</v>
      </c>
      <c r="B3467">
        <v>34.196049199999997</v>
      </c>
      <c r="C3467">
        <v>-118.48616819999999</v>
      </c>
      <c r="D3467" t="s">
        <v>5</v>
      </c>
    </row>
    <row r="3468" spans="1:4" x14ac:dyDescent="0.45">
      <c r="A3468" t="s">
        <v>3470</v>
      </c>
      <c r="B3468">
        <v>34.196687699999998</v>
      </c>
      <c r="C3468">
        <v>-118.48616819999999</v>
      </c>
      <c r="D3468" t="s">
        <v>5</v>
      </c>
    </row>
    <row r="3469" spans="1:4" x14ac:dyDescent="0.45">
      <c r="A3469" t="s">
        <v>3471</v>
      </c>
      <c r="B3469">
        <v>34.196847300000002</v>
      </c>
      <c r="C3469">
        <v>-118.48616819999999</v>
      </c>
      <c r="D3469" t="s">
        <v>5</v>
      </c>
    </row>
    <row r="3470" spans="1:4" x14ac:dyDescent="0.45">
      <c r="A3470" t="s">
        <v>3472</v>
      </c>
      <c r="B3470">
        <v>34.195815099999997</v>
      </c>
      <c r="C3470">
        <v>-118.4863051</v>
      </c>
      <c r="D3470" t="s">
        <v>5</v>
      </c>
    </row>
    <row r="3471" spans="1:4" x14ac:dyDescent="0.45">
      <c r="A3471" t="s">
        <v>3473</v>
      </c>
      <c r="B3471">
        <v>34.197138199999998</v>
      </c>
      <c r="C3471">
        <v>-118.4861226</v>
      </c>
      <c r="D3471" t="s">
        <v>5</v>
      </c>
    </row>
    <row r="3472" spans="1:4" x14ac:dyDescent="0.45">
      <c r="A3472" t="s">
        <v>3474</v>
      </c>
      <c r="B3472">
        <v>34.179369899999998</v>
      </c>
      <c r="C3472">
        <v>-118.476816</v>
      </c>
      <c r="D3472" t="s">
        <v>5</v>
      </c>
    </row>
    <row r="3473" spans="1:4" x14ac:dyDescent="0.45">
      <c r="A3473" t="s">
        <v>3475</v>
      </c>
      <c r="B3473">
        <v>34.181618499999999</v>
      </c>
      <c r="C3473">
        <v>-118.48119560000001</v>
      </c>
      <c r="D3473" t="s">
        <v>5</v>
      </c>
    </row>
    <row r="3474" spans="1:4" x14ac:dyDescent="0.45">
      <c r="A3474" t="s">
        <v>3476</v>
      </c>
      <c r="B3474">
        <v>34.200876999999998</v>
      </c>
      <c r="C3474">
        <v>-118.4864875</v>
      </c>
      <c r="D3474" t="s">
        <v>5</v>
      </c>
    </row>
    <row r="3475" spans="1:4" x14ac:dyDescent="0.45">
      <c r="A3475" t="s">
        <v>3477</v>
      </c>
      <c r="B3475">
        <v>34.198463599999997</v>
      </c>
      <c r="C3475">
        <v>-118.48735430000001</v>
      </c>
      <c r="D3475" t="s">
        <v>5</v>
      </c>
    </row>
    <row r="3476" spans="1:4" x14ac:dyDescent="0.45">
      <c r="A3476" t="s">
        <v>3478</v>
      </c>
      <c r="B3476">
        <v>34.179701399999999</v>
      </c>
      <c r="C3476">
        <v>-118.4791427</v>
      </c>
      <c r="D3476" t="s">
        <v>5</v>
      </c>
    </row>
    <row r="3477" spans="1:4" x14ac:dyDescent="0.45">
      <c r="A3477" t="s">
        <v>3479</v>
      </c>
      <c r="B3477">
        <v>34.200831000000001</v>
      </c>
      <c r="C3477">
        <v>-118.48667</v>
      </c>
      <c r="D3477" t="s">
        <v>5</v>
      </c>
    </row>
    <row r="3478" spans="1:4" x14ac:dyDescent="0.45">
      <c r="A3478" t="s">
        <v>3480</v>
      </c>
      <c r="B3478">
        <v>34.2090186</v>
      </c>
      <c r="C3478">
        <v>-118.48110440000001</v>
      </c>
      <c r="D3478" t="s">
        <v>5</v>
      </c>
    </row>
    <row r="3479" spans="1:4" x14ac:dyDescent="0.45">
      <c r="A3479" t="s">
        <v>3481</v>
      </c>
      <c r="B3479">
        <v>34.181252000000001</v>
      </c>
      <c r="C3479">
        <v>-118.47394180000001</v>
      </c>
      <c r="D3479" t="s">
        <v>5</v>
      </c>
    </row>
    <row r="3480" spans="1:4" x14ac:dyDescent="0.45">
      <c r="A3480" t="s">
        <v>3482</v>
      </c>
      <c r="B3480">
        <v>34.195222700000002</v>
      </c>
      <c r="C3480">
        <v>-118.4861226</v>
      </c>
      <c r="D3480" t="s">
        <v>5</v>
      </c>
    </row>
    <row r="3481" spans="1:4" x14ac:dyDescent="0.45">
      <c r="A3481" t="s">
        <v>3483</v>
      </c>
      <c r="B3481">
        <v>34.195541899999903</v>
      </c>
      <c r="C3481">
        <v>-118.4861226</v>
      </c>
      <c r="D3481" t="s">
        <v>5</v>
      </c>
    </row>
    <row r="3482" spans="1:4" x14ac:dyDescent="0.45">
      <c r="A3482" t="s">
        <v>3484</v>
      </c>
      <c r="B3482">
        <v>34.1611045</v>
      </c>
      <c r="C3482">
        <v>-118.4498608</v>
      </c>
      <c r="D3482" t="s">
        <v>5</v>
      </c>
    </row>
    <row r="3483" spans="1:4" x14ac:dyDescent="0.45">
      <c r="A3483" t="s">
        <v>3485</v>
      </c>
      <c r="B3483">
        <v>34.162302299999901</v>
      </c>
      <c r="C3483">
        <v>-118.4481016</v>
      </c>
      <c r="D3483" t="str">
        <f>HYPERLINK("https://streetviewpixels-pa.googleapis.com/v1/thumbnail?panoid=W1jCtwncGtAklB05qrxlHw&amp;cb_client=search.gws-prod.gps&amp;w=408&amp;h=240&amp;yaw=313.55475&amp;pitch=0&amp;thumbfov=100", "link")</f>
        <v>link</v>
      </c>
    </row>
    <row r="3484" spans="1:4" x14ac:dyDescent="0.45">
      <c r="A3484" t="s">
        <v>3486</v>
      </c>
      <c r="B3484">
        <v>34.161953599999997</v>
      </c>
      <c r="C3484">
        <v>-118.4482758</v>
      </c>
      <c r="D3484" t="s">
        <v>5</v>
      </c>
    </row>
    <row r="3485" spans="1:4" x14ac:dyDescent="0.45">
      <c r="A3485" t="s">
        <v>3487</v>
      </c>
      <c r="B3485">
        <v>33.8967484</v>
      </c>
      <c r="C3485">
        <v>-118.1716124</v>
      </c>
      <c r="D3485" t="str">
        <f>HYPERLINK("https://lh5.googleusercontent.com/p/AF1QipPrHsJBIAZf6yAVunOv3bUBj51HEfu-bn7cxnJE=w408-h408-k-no", "link")</f>
        <v>link</v>
      </c>
    </row>
    <row r="3486" spans="1:4" x14ac:dyDescent="0.45">
      <c r="A3486" t="s">
        <v>3488</v>
      </c>
      <c r="B3486">
        <v>34.142044800000001</v>
      </c>
      <c r="C3486">
        <v>-118.1513818</v>
      </c>
      <c r="D3486" t="str">
        <f>HYPERLINK("https://streetviewpixels-pa.googleapis.com/v1/thumbnail?panoid=mcWtDGTenwWM3IQFY5-3IA&amp;cb_client=search.gws-prod.gps&amp;w=408&amp;h=240&amp;yaw=193.16902&amp;pitch=0&amp;thumbfov=100", "link")</f>
        <v>link</v>
      </c>
    </row>
    <row r="3487" spans="1:4" x14ac:dyDescent="0.45">
      <c r="A3487" t="s">
        <v>3489</v>
      </c>
      <c r="B3487">
        <v>34.1419456</v>
      </c>
      <c r="C3487">
        <v>-118.14869710000001</v>
      </c>
      <c r="D3487" t="str">
        <f>HYPERLINK("https://streetviewpixels-pa.googleapis.com/v1/thumbnail?panoid=E3RrMyA-X9BsiBX2yJ6giw&amp;cb_client=search.gws-prod.gps&amp;w=408&amp;h=240&amp;yaw=61.346886&amp;pitch=0&amp;thumbfov=100", "link")</f>
        <v>link</v>
      </c>
    </row>
    <row r="3488" spans="1:4" x14ac:dyDescent="0.45">
      <c r="A3488" t="s">
        <v>3490</v>
      </c>
      <c r="B3488">
        <v>34.140619600000001</v>
      </c>
      <c r="C3488">
        <v>-118.1512669</v>
      </c>
      <c r="D3488" t="str">
        <f>HYPERLINK("https://streetviewpixels-pa.googleapis.com/v1/thumbnail?panoid=c2HLgd3vd3d55f_eoCStSQ&amp;cb_client=search.gws-prod.gps&amp;w=408&amp;h=240&amp;yaw=141.15262&amp;pitch=0&amp;thumbfov=100", "link")</f>
        <v>link</v>
      </c>
    </row>
    <row r="3489" spans="1:4" x14ac:dyDescent="0.45">
      <c r="A3489" t="s">
        <v>3491</v>
      </c>
      <c r="B3489">
        <v>34.1398279</v>
      </c>
      <c r="C3489">
        <v>-118.15083</v>
      </c>
      <c r="D3489" t="str">
        <f>HYPERLINK("https://streetviewpixels-pa.googleapis.com/v1/thumbnail?panoid=IBh2bQegJischjwVDBHyVg&amp;cb_client=search.gws-prod.gps&amp;w=408&amp;h=240&amp;yaw=266.01886&amp;pitch=0&amp;thumbfov=100", "link")</f>
        <v>link</v>
      </c>
    </row>
    <row r="3490" spans="1:4" x14ac:dyDescent="0.45">
      <c r="A3490" t="s">
        <v>3492</v>
      </c>
      <c r="B3490">
        <v>34.140332600000001</v>
      </c>
      <c r="C3490">
        <v>-118.14659349999999</v>
      </c>
      <c r="D3490" t="s">
        <v>5</v>
      </c>
    </row>
    <row r="3491" spans="1:4" x14ac:dyDescent="0.45">
      <c r="A3491" t="s">
        <v>3493</v>
      </c>
      <c r="B3491">
        <v>34.122867200000002</v>
      </c>
      <c r="C3491">
        <v>-118.150531</v>
      </c>
      <c r="D3491" t="str">
        <f>HYPERLINK("https://streetviewpixels-pa.googleapis.com/v1/thumbnail?panoid=k8X1XNHIaWwuOk7qm-S_2Q&amp;cb_client=search.gws-prod.gps&amp;w=408&amp;h=240&amp;yaw=281.27325&amp;pitch=0&amp;thumbfov=100", "link")</f>
        <v>link</v>
      </c>
    </row>
    <row r="3492" spans="1:4" x14ac:dyDescent="0.45">
      <c r="A3492" t="s">
        <v>3494</v>
      </c>
      <c r="B3492">
        <v>34.133174500000003</v>
      </c>
      <c r="C3492">
        <v>-118.1535612</v>
      </c>
      <c r="D3492" t="s">
        <v>5</v>
      </c>
    </row>
    <row r="3493" spans="1:4" x14ac:dyDescent="0.45">
      <c r="A3493" t="s">
        <v>3495</v>
      </c>
      <c r="B3493">
        <v>34.132356199999997</v>
      </c>
      <c r="C3493">
        <v>-118.1520823</v>
      </c>
      <c r="D3493" t="str">
        <f>HYPERLINK("https://streetviewpixels-pa.googleapis.com/v1/thumbnail?panoid=Filn2tz3ku63sSFXiGR2Sg&amp;cb_client=search.gws-prod.gps&amp;w=408&amp;h=240&amp;yaw=320.6868&amp;pitch=0&amp;thumbfov=100", "link")</f>
        <v>link</v>
      </c>
    </row>
    <row r="3494" spans="1:4" x14ac:dyDescent="0.45">
      <c r="A3494" t="s">
        <v>3496</v>
      </c>
      <c r="B3494">
        <v>34.131828400000003</v>
      </c>
      <c r="C3494">
        <v>-118.1523138</v>
      </c>
      <c r="D3494" t="s">
        <v>5</v>
      </c>
    </row>
    <row r="3495" spans="1:4" x14ac:dyDescent="0.45">
      <c r="A3495" t="s">
        <v>3497</v>
      </c>
      <c r="B3495">
        <v>34.133724899999997</v>
      </c>
      <c r="C3495">
        <v>-118.15137249999999</v>
      </c>
      <c r="D3495" t="str">
        <f>HYPERLINK("https://streetviewpixels-pa.googleapis.com/v1/thumbnail?panoid=qCmLCtcpwHsEgVAh4v8RSw&amp;cb_client=search.gws-prod.gps&amp;w=408&amp;h=240&amp;yaw=58.54667&amp;pitch=0&amp;thumbfov=100", "link")</f>
        <v>link</v>
      </c>
    </row>
    <row r="3496" spans="1:4" x14ac:dyDescent="0.45">
      <c r="A3496" t="s">
        <v>3498</v>
      </c>
      <c r="B3496">
        <v>34.135397099999999</v>
      </c>
      <c r="C3496">
        <v>-118.1534108</v>
      </c>
      <c r="D3496" t="s">
        <v>5</v>
      </c>
    </row>
    <row r="3497" spans="1:4" x14ac:dyDescent="0.45">
      <c r="A3497" t="s">
        <v>3499</v>
      </c>
      <c r="B3497">
        <v>34.132934900000002</v>
      </c>
      <c r="C3497">
        <v>-118.15075969999999</v>
      </c>
      <c r="D3497" t="s">
        <v>5</v>
      </c>
    </row>
    <row r="3498" spans="1:4" x14ac:dyDescent="0.45">
      <c r="A3498" t="s">
        <v>3500</v>
      </c>
      <c r="B3498">
        <v>34.135388200000001</v>
      </c>
      <c r="C3498">
        <v>-118.1523425</v>
      </c>
      <c r="D3498" t="str">
        <f>HYPERLINK("https://streetviewpixels-pa.googleapis.com/v1/thumbnail?panoid=fZMN27wjfLeEJmJY9DrA9g&amp;cb_client=search.gws-prod.gps&amp;w=408&amp;h=240&amp;yaw=268.4853&amp;pitch=0&amp;thumbfov=100", "link")</f>
        <v>link</v>
      </c>
    </row>
    <row r="3499" spans="1:4" x14ac:dyDescent="0.45">
      <c r="A3499" t="s">
        <v>3501</v>
      </c>
      <c r="B3499">
        <v>34.134690599999999</v>
      </c>
      <c r="C3499">
        <v>-118.1512625</v>
      </c>
      <c r="D3499" t="s">
        <v>5</v>
      </c>
    </row>
    <row r="3500" spans="1:4" x14ac:dyDescent="0.45">
      <c r="A3500" t="s">
        <v>3502</v>
      </c>
      <c r="B3500">
        <v>34.135390899999997</v>
      </c>
      <c r="C3500">
        <v>-118.15233569999999</v>
      </c>
      <c r="D3500" t="str">
        <f>HYPERLINK("https://streetviewpixels-pa.googleapis.com/v1/thumbnail?panoid=fZMN27wjfLeEJmJY9DrA9g&amp;cb_client=search.gws-prod.gps&amp;w=408&amp;h=240&amp;yaw=268.4853&amp;pitch=0&amp;thumbfov=100", "link")</f>
        <v>link</v>
      </c>
    </row>
    <row r="3501" spans="1:4" x14ac:dyDescent="0.45">
      <c r="A3501" t="s">
        <v>3503</v>
      </c>
      <c r="B3501">
        <v>34.135191800000001</v>
      </c>
      <c r="C3501">
        <v>-118.15145440000001</v>
      </c>
      <c r="D3501" t="str">
        <f>HYPERLINK("https://streetviewpixels-pa.googleapis.com/v1/thumbnail?panoid=F6FL_ROxRqtKyQ-adZ630A&amp;cb_client=search.gws-prod.gps&amp;w=408&amp;h=240&amp;yaw=293.64023&amp;pitch=0&amp;thumbfov=100", "link")</f>
        <v>link</v>
      </c>
    </row>
    <row r="3502" spans="1:4" x14ac:dyDescent="0.45">
      <c r="A3502" t="s">
        <v>3504</v>
      </c>
      <c r="B3502">
        <v>34.131348199999998</v>
      </c>
      <c r="C3502">
        <v>-118.15116690000001</v>
      </c>
      <c r="D3502" t="str">
        <f>HYPERLINK("https://streetviewpixels-pa.googleapis.com/v1/thumbnail?panoid=HNgoZ1Z99i7EcaALxlRteA&amp;cb_client=search.gws-prod.gps&amp;w=408&amp;h=240&amp;yaw=357.5929&amp;pitch=0&amp;thumbfov=100", "link")</f>
        <v>link</v>
      </c>
    </row>
    <row r="3503" spans="1:4" x14ac:dyDescent="0.45">
      <c r="A3503" t="s">
        <v>3505</v>
      </c>
      <c r="B3503">
        <v>34.130780999999999</v>
      </c>
      <c r="C3503">
        <v>-118.15153669999999</v>
      </c>
      <c r="D3503" t="str">
        <f>HYPERLINK("https://streetviewpixels-pa.googleapis.com/v1/thumbnail?panoid=9GJ31mBkpBot9NDWrdZcjA&amp;cb_client=search.gws-prod.gps&amp;w=408&amp;h=240&amp;yaw=159.74867&amp;pitch=0&amp;thumbfov=100", "link")</f>
        <v>link</v>
      </c>
    </row>
    <row r="3504" spans="1:4" x14ac:dyDescent="0.45">
      <c r="A3504" t="s">
        <v>3506</v>
      </c>
      <c r="B3504">
        <v>34.1334102</v>
      </c>
      <c r="C3504">
        <v>-118.1484057</v>
      </c>
      <c r="D3504" t="s">
        <v>5</v>
      </c>
    </row>
    <row r="3505" spans="1:4" x14ac:dyDescent="0.45">
      <c r="A3505" t="s">
        <v>3507</v>
      </c>
      <c r="B3505">
        <v>34.132510400000001</v>
      </c>
      <c r="C3505">
        <v>-118.1484404</v>
      </c>
      <c r="D3505" t="str">
        <f>HYPERLINK("https://streetviewpixels-pa.googleapis.com/v1/thumbnail?panoid=Juh-PBi8E7zk--f2opkoQQ&amp;cb_client=search.gws-prod.gps&amp;w=408&amp;h=240&amp;yaw=84.360214&amp;pitch=0&amp;thumbfov=100", "link")</f>
        <v>link</v>
      </c>
    </row>
    <row r="3506" spans="1:4" x14ac:dyDescent="0.45">
      <c r="A3506" t="s">
        <v>3508</v>
      </c>
      <c r="B3506">
        <v>34.132847900000002</v>
      </c>
      <c r="C3506">
        <v>-118.1482579</v>
      </c>
      <c r="D3506" t="str">
        <f>HYPERLINK("https://streetviewpixels-pa.googleapis.com/v1/thumbnail?panoid=Juh-PBi8E7zk--f2opkoQQ&amp;cb_client=search.gws-prod.gps&amp;w=408&amp;h=240&amp;yaw=84.360214&amp;pitch=0&amp;thumbfov=100", "link")</f>
        <v>link</v>
      </c>
    </row>
    <row r="3507" spans="1:4" x14ac:dyDescent="0.45">
      <c r="A3507" t="s">
        <v>3509</v>
      </c>
      <c r="B3507">
        <v>34.139179599999999</v>
      </c>
      <c r="C3507">
        <v>-118.1508147</v>
      </c>
      <c r="D3507" t="s">
        <v>5</v>
      </c>
    </row>
    <row r="3508" spans="1:4" x14ac:dyDescent="0.45">
      <c r="A3508" t="s">
        <v>3510</v>
      </c>
      <c r="B3508">
        <v>34.139205699999998</v>
      </c>
      <c r="C3508">
        <v>-118.1508054</v>
      </c>
      <c r="D3508" t="s">
        <v>5</v>
      </c>
    </row>
    <row r="3509" spans="1:4" x14ac:dyDescent="0.45">
      <c r="A3509" t="s">
        <v>3511</v>
      </c>
      <c r="B3509">
        <v>34.141823700000003</v>
      </c>
      <c r="C3509">
        <v>-118.1411485</v>
      </c>
      <c r="D3509" t="str">
        <f>HYPERLINK("https://streetviewpixels-pa.googleapis.com/v1/thumbnail?panoid=K6Jf-sSlFv80OCRu2-Oc_g&amp;cb_client=search.gws-prod.gps&amp;w=408&amp;h=240&amp;yaw=160.96968&amp;pitch=0&amp;thumbfov=100", "link")</f>
        <v>link</v>
      </c>
    </row>
    <row r="3510" spans="1:4" x14ac:dyDescent="0.45">
      <c r="A3510" t="s">
        <v>3512</v>
      </c>
      <c r="B3510">
        <v>34.147222300000003</v>
      </c>
      <c r="C3510">
        <v>-118.13984619999999</v>
      </c>
      <c r="D3510" t="str">
        <f>HYPERLINK("https://streetviewpixels-pa.googleapis.com/v1/thumbnail?panoid=B1Bii7KnDZiXnMGhAw-7Qw&amp;cb_client=search.gws-prod.gps&amp;w=408&amp;h=240&amp;yaw=76.38238&amp;pitch=0&amp;thumbfov=100", "link")</f>
        <v>link</v>
      </c>
    </row>
    <row r="3511" spans="1:4" x14ac:dyDescent="0.45">
      <c r="A3511" t="s">
        <v>3513</v>
      </c>
      <c r="B3511">
        <v>34.1430504</v>
      </c>
      <c r="C3511">
        <v>-118.1401316</v>
      </c>
      <c r="D3511" t="str">
        <f>HYPERLINK("https://streetviewpixels-pa.googleapis.com/v1/thumbnail?panoid=ighpdI8AlfNZcap2-AYBDw&amp;cb_client=search.gws-prod.gps&amp;w=408&amp;h=240&amp;yaw=69.68117&amp;pitch=0&amp;thumbfov=100", "link")</f>
        <v>link</v>
      </c>
    </row>
    <row r="3512" spans="1:4" x14ac:dyDescent="0.45">
      <c r="A3512" t="s">
        <v>3514</v>
      </c>
      <c r="B3512">
        <v>34.145143900000001</v>
      </c>
      <c r="C3512">
        <v>-118.1390799</v>
      </c>
      <c r="D3512" t="str">
        <f>HYPERLINK("https://streetviewpixels-pa.googleapis.com/v1/thumbnail?panoid=NyVcgdfHVSjQQZOjGBRXGg&amp;cb_client=search.gws-prod.gps&amp;w=408&amp;h=240&amp;yaw=1.2099327&amp;pitch=0&amp;thumbfov=100", "link")</f>
        <v>link</v>
      </c>
    </row>
    <row r="3513" spans="1:4" x14ac:dyDescent="0.45">
      <c r="A3513" t="s">
        <v>3515</v>
      </c>
      <c r="B3513">
        <v>34.145434199999997</v>
      </c>
      <c r="C3513">
        <v>-118.1387833</v>
      </c>
      <c r="D3513" t="s">
        <v>5</v>
      </c>
    </row>
    <row r="3514" spans="1:4" x14ac:dyDescent="0.45">
      <c r="A3514" t="s">
        <v>3516</v>
      </c>
      <c r="B3514">
        <v>34.143845599999999</v>
      </c>
      <c r="C3514">
        <v>-118.1390576</v>
      </c>
      <c r="D3514" t="s">
        <v>5</v>
      </c>
    </row>
    <row r="3515" spans="1:4" x14ac:dyDescent="0.45">
      <c r="A3515" t="s">
        <v>3517</v>
      </c>
      <c r="B3515">
        <v>34.351405900000003</v>
      </c>
      <c r="C3515">
        <v>-117.89709120000001</v>
      </c>
      <c r="D3515" t="str">
        <f>HYPERLINK("https://lh5.googleusercontent.com/p/AF1QipPgHVL7QrNGdEXsvigZQpnjUxNY3PlxRAuk5_3n=w408-h544-k-no", "link")</f>
        <v>link</v>
      </c>
    </row>
    <row r="3516" spans="1:4" x14ac:dyDescent="0.45">
      <c r="A3516" t="s">
        <v>3518</v>
      </c>
      <c r="B3516">
        <v>34.316997999999998</v>
      </c>
      <c r="C3516">
        <v>-117.835426</v>
      </c>
      <c r="D3516" t="str">
        <f>HYPERLINK("https://lh5.googleusercontent.com/p/AF1QipMseZbO72wbZMTbhtZiOdHcJos-O6nKbBtnHkim=w408-h544-k-no", "link")</f>
        <v>link</v>
      </c>
    </row>
    <row r="3517" spans="1:4" x14ac:dyDescent="0.45">
      <c r="A3517" t="s">
        <v>3519</v>
      </c>
      <c r="B3517">
        <v>33.962781700000001</v>
      </c>
      <c r="C3517">
        <v>-118.07044</v>
      </c>
      <c r="D3517" t="str">
        <f>HYPERLINK("https://streetviewpixels-pa.googleapis.com/v1/thumbnail?panoid=fbIaRAKjlMWmpNFvUM_ahw&amp;cb_client=search.gws-prod.gps&amp;w=408&amp;h=240&amp;yaw=117.53288&amp;pitch=0&amp;thumbfov=100", "link")</f>
        <v>link</v>
      </c>
    </row>
    <row r="3518" spans="1:4" x14ac:dyDescent="0.45">
      <c r="A3518" t="s">
        <v>3520</v>
      </c>
      <c r="B3518">
        <v>33.959380099999898</v>
      </c>
      <c r="C3518">
        <v>-118.41924160000001</v>
      </c>
      <c r="D3518" t="str">
        <f>HYPERLINK("https://streetviewpixels-pa.googleapis.com/v1/thumbnail?panoid=5wZCjpYO-bLgaXE2SeQo9w&amp;cb_client=search.gws-prod.gps&amp;w=408&amp;h=240&amp;yaw=199.67577&amp;pitch=0&amp;thumbfov=100", "link")</f>
        <v>link</v>
      </c>
    </row>
    <row r="3519" spans="1:4" x14ac:dyDescent="0.45">
      <c r="A3519" t="s">
        <v>3521</v>
      </c>
      <c r="B3519">
        <v>33.960067600000002</v>
      </c>
      <c r="C3519">
        <v>-118.4185932</v>
      </c>
      <c r="D3519" t="str">
        <f>HYPERLINK("https://streetviewpixels-pa.googleapis.com/v1/thumbnail?panoid=tgWR47rHUJYtpbcmxNWhbQ&amp;cb_client=search.gws-prod.gps&amp;w=408&amp;h=240&amp;yaw=207.28596&amp;pitch=0&amp;thumbfov=100", "link")</f>
        <v>link</v>
      </c>
    </row>
    <row r="3520" spans="1:4" x14ac:dyDescent="0.45">
      <c r="A3520" t="s">
        <v>3522</v>
      </c>
      <c r="B3520">
        <v>33.956192199999997</v>
      </c>
      <c r="C3520">
        <v>-118.41728620000001</v>
      </c>
      <c r="D3520" t="str">
        <f>HYPERLINK("https://streetviewpixels-pa.googleapis.com/v1/thumbnail?panoid=oY1dhg__uFUSG_mu9fx3ow&amp;cb_client=search.gws-prod.gps&amp;w=408&amp;h=240&amp;yaw=333.69284&amp;pitch=0&amp;thumbfov=100", "link")</f>
        <v>link</v>
      </c>
    </row>
    <row r="3521" spans="1:4" x14ac:dyDescent="0.45">
      <c r="A3521" t="s">
        <v>3523</v>
      </c>
      <c r="B3521">
        <v>33.969004300000002</v>
      </c>
      <c r="C3521">
        <v>-118.420734</v>
      </c>
      <c r="D3521" t="str">
        <f>HYPERLINK("https://streetviewpixels-pa.googleapis.com/v1/thumbnail?panoid=9XObeXBLjnuhLKlax0CAFQ&amp;cb_client=search.gws-prod.gps&amp;w=408&amp;h=240&amp;yaw=205.10754&amp;pitch=0&amp;thumbfov=100", "link")</f>
        <v>link</v>
      </c>
    </row>
    <row r="3522" spans="1:4" x14ac:dyDescent="0.45">
      <c r="A3522" t="s">
        <v>3524</v>
      </c>
      <c r="B3522">
        <v>33.966813199999997</v>
      </c>
      <c r="C3522">
        <v>-118.4175023</v>
      </c>
      <c r="D3522" t="str">
        <f>HYPERLINK("https://streetviewpixels-pa.googleapis.com/v1/thumbnail?panoid=-cItAETGGVxKbdNnu8V6GQ&amp;cb_client=search.gws-prod.gps&amp;w=408&amp;h=240&amp;yaw=146.26692&amp;pitch=0&amp;thumbfov=100", "link")</f>
        <v>link</v>
      </c>
    </row>
    <row r="3523" spans="1:4" x14ac:dyDescent="0.45">
      <c r="A3523" t="s">
        <v>3525</v>
      </c>
      <c r="B3523">
        <v>33.969635099999998</v>
      </c>
      <c r="C3523">
        <v>-118.4191254</v>
      </c>
      <c r="D3523" t="str">
        <f>HYPERLINK("https://streetviewpixels-pa.googleapis.com/v1/thumbnail?panoid=MOhG-zJzE1WcMFud_-zdRg&amp;cb_client=search.gws-prod.gps&amp;w=408&amp;h=240&amp;yaw=195.65288&amp;pitch=0&amp;thumbfov=100", "link")</f>
        <v>link</v>
      </c>
    </row>
    <row r="3524" spans="1:4" x14ac:dyDescent="0.45">
      <c r="A3524" t="s">
        <v>3526</v>
      </c>
      <c r="B3524">
        <v>33.958578500000002</v>
      </c>
      <c r="C3524">
        <v>-118.4383643</v>
      </c>
      <c r="D3524" t="str">
        <f>HYPERLINK("https://streetviewpixels-pa.googleapis.com/v1/thumbnail?panoid=0i_5N_qFNK_RqUQoFnvF7A&amp;cb_client=search.gws-prod.gps&amp;w=408&amp;h=240&amp;yaw=1.2704983&amp;pitch=0&amp;thumbfov=100", "link")</f>
        <v>link</v>
      </c>
    </row>
    <row r="3525" spans="1:4" x14ac:dyDescent="0.45">
      <c r="A3525" t="s">
        <v>3527</v>
      </c>
      <c r="B3525">
        <v>33.9594193</v>
      </c>
      <c r="C3525">
        <v>-118.43698329999999</v>
      </c>
      <c r="D3525" t="str">
        <f>HYPERLINK("https://streetviewpixels-pa.googleapis.com/v1/thumbnail?panoid=oEf7jl9vSGSlgXoRgyHxUw&amp;cb_client=search.gws-prod.gps&amp;w=408&amp;h=240&amp;yaw=347.3456&amp;pitch=0&amp;thumbfov=100", "link")</f>
        <v>link</v>
      </c>
    </row>
    <row r="3526" spans="1:4" x14ac:dyDescent="0.45">
      <c r="A3526" t="s">
        <v>3528</v>
      </c>
      <c r="B3526">
        <v>33.959877400000003</v>
      </c>
      <c r="C3526">
        <v>-118.43665900000001</v>
      </c>
      <c r="D3526" t="str">
        <f>HYPERLINK("https://streetviewpixels-pa.googleapis.com/v1/thumbnail?panoid=sm60Y1g2DPb0FL6GFOq_EQ&amp;cb_client=search.gws-prod.gps&amp;w=408&amp;h=240&amp;yaw=334.8913&amp;pitch=0&amp;thumbfov=100", "link")</f>
        <v>link</v>
      </c>
    </row>
    <row r="3527" spans="1:4" x14ac:dyDescent="0.45">
      <c r="A3527" t="s">
        <v>3529</v>
      </c>
      <c r="B3527">
        <v>33.965445199999998</v>
      </c>
      <c r="C3527">
        <v>-118.428906</v>
      </c>
      <c r="D3527" t="s">
        <v>5</v>
      </c>
    </row>
    <row r="3528" spans="1:4" x14ac:dyDescent="0.45">
      <c r="A3528" t="s">
        <v>3530</v>
      </c>
      <c r="B3528">
        <v>33.966383</v>
      </c>
      <c r="C3528">
        <v>-118.42835839999999</v>
      </c>
      <c r="D3528" t="str">
        <f>HYPERLINK("https://lh5.googleusercontent.com/p/AF1QipMtb6WT59QwL8e74hP8WDXshLY6GqM5Ei-Vg10L=w426-h240-k-no", "link")</f>
        <v>link</v>
      </c>
    </row>
    <row r="3529" spans="1:4" x14ac:dyDescent="0.45">
      <c r="A3529" t="s">
        <v>3531</v>
      </c>
      <c r="B3529">
        <v>33.964334299999997</v>
      </c>
      <c r="C3529">
        <v>-118.42290730000001</v>
      </c>
      <c r="D3529" t="str">
        <f>HYPERLINK("https://streetviewpixels-pa.googleapis.com/v1/thumbnail?panoid=7ZP7tuzst4HFSu69lJizCA&amp;cb_client=search.gws-prod.gps&amp;w=408&amp;h=240&amp;yaw=67.52779&amp;pitch=0&amp;thumbfov=100", "link")</f>
        <v>link</v>
      </c>
    </row>
    <row r="3530" spans="1:4" x14ac:dyDescent="0.45">
      <c r="A3530" t="s">
        <v>3532</v>
      </c>
      <c r="B3530">
        <v>33.962336000000001</v>
      </c>
      <c r="C3530">
        <v>-118.42180620000001</v>
      </c>
      <c r="D3530" t="str">
        <f>HYPERLINK("https://streetviewpixels-pa.googleapis.com/v1/thumbnail?panoid=Gvl1TvEdwl6Xd_ckBF__Iw&amp;cb_client=search.gws-prod.gps&amp;w=408&amp;h=240&amp;yaw=300.79153&amp;pitch=0&amp;thumbfov=100", "link")</f>
        <v>link</v>
      </c>
    </row>
    <row r="3531" spans="1:4" x14ac:dyDescent="0.45">
      <c r="A3531" t="s">
        <v>3533</v>
      </c>
      <c r="B3531">
        <v>33.961278299999996</v>
      </c>
      <c r="C3531">
        <v>-118.4200008</v>
      </c>
      <c r="D3531" t="str">
        <f>HYPERLINK("https://streetviewpixels-pa.googleapis.com/v1/thumbnail?panoid=FOoYQo1ydKO_EOClno5kWg&amp;cb_client=search.gws-prod.gps&amp;w=408&amp;h=240&amp;yaw=77.80648&amp;pitch=0&amp;thumbfov=100", "link")</f>
        <v>link</v>
      </c>
    </row>
    <row r="3532" spans="1:4" x14ac:dyDescent="0.45">
      <c r="A3532" t="s">
        <v>3534</v>
      </c>
      <c r="B3532">
        <v>33.967647300000003</v>
      </c>
      <c r="C3532">
        <v>-118.4163732</v>
      </c>
      <c r="D3532" t="str">
        <f>HYPERLINK("https://streetviewpixels-pa.googleapis.com/v1/thumbnail?panoid=qzXP054gJ0mfAjhwHBi5cw&amp;cb_client=search.gws-prod.gps&amp;w=408&amp;h=240&amp;yaw=177.98131&amp;pitch=0&amp;thumbfov=100", "link")</f>
        <v>link</v>
      </c>
    </row>
    <row r="3533" spans="1:4" x14ac:dyDescent="0.45">
      <c r="A3533" t="s">
        <v>3535</v>
      </c>
      <c r="B3533">
        <v>33.969876499999998</v>
      </c>
      <c r="C3533">
        <v>-118.4175953</v>
      </c>
      <c r="D3533" t="str">
        <f>HYPERLINK("https://streetviewpixels-pa.googleapis.com/v1/thumbnail?panoid=sVuE7IcksSoUhqVqVFQk4A&amp;cb_client=search.gws-prod.gps&amp;w=408&amp;h=240&amp;yaw=138.13405&amp;pitch=0&amp;thumbfov=100", "link")</f>
        <v>link</v>
      </c>
    </row>
    <row r="3534" spans="1:4" x14ac:dyDescent="0.45">
      <c r="A3534" t="s">
        <v>3536</v>
      </c>
      <c r="B3534">
        <v>33.9723185</v>
      </c>
      <c r="C3534">
        <v>-118.41739320000001</v>
      </c>
      <c r="D3534" t="str">
        <f>HYPERLINK("https://lh5.googleusercontent.com/p/AF1QipPnKlrwI6am0FxLtoc2TkBZhKBu-_mbDYauilu-=w408-h306-k-no", "link")</f>
        <v>link</v>
      </c>
    </row>
    <row r="3535" spans="1:4" x14ac:dyDescent="0.45">
      <c r="A3535" t="s">
        <v>3537</v>
      </c>
      <c r="B3535">
        <v>33.9697885</v>
      </c>
      <c r="C3535">
        <v>-118.40951</v>
      </c>
      <c r="D3535" t="s">
        <v>5</v>
      </c>
    </row>
    <row r="3536" spans="1:4" x14ac:dyDescent="0.45">
      <c r="A3536" t="s">
        <v>3538</v>
      </c>
      <c r="B3536">
        <v>33.972369800000003</v>
      </c>
      <c r="C3536">
        <v>-118.416026</v>
      </c>
      <c r="D3536" t="s">
        <v>5</v>
      </c>
    </row>
    <row r="3537" spans="1:4" x14ac:dyDescent="0.45">
      <c r="A3537" t="s">
        <v>3539</v>
      </c>
      <c r="B3537">
        <v>33.969811499999999</v>
      </c>
      <c r="C3537">
        <v>-118.4087797</v>
      </c>
      <c r="D3537" t="s">
        <v>5</v>
      </c>
    </row>
    <row r="3538" spans="1:4" x14ac:dyDescent="0.45">
      <c r="A3538" t="s">
        <v>3540</v>
      </c>
      <c r="B3538">
        <v>33.972794399999998</v>
      </c>
      <c r="C3538">
        <v>-118.4141529</v>
      </c>
      <c r="D3538" t="str">
        <f>HYPERLINK("https://streetviewpixels-pa.googleapis.com/v1/thumbnail?panoid=5FWESGas67bAEUO8sWh_ug&amp;cb_client=search.gws-prod.gps&amp;w=408&amp;h=240&amp;yaw=68.9464&amp;pitch=0&amp;thumbfov=100", "link")</f>
        <v>link</v>
      </c>
    </row>
    <row r="3539" spans="1:4" x14ac:dyDescent="0.45">
      <c r="A3539" t="s">
        <v>3541</v>
      </c>
      <c r="B3539">
        <v>33.977084900000001</v>
      </c>
      <c r="C3539">
        <v>-118.4173661</v>
      </c>
      <c r="D3539" t="str">
        <f>HYPERLINK("https://lh5.googleusercontent.com/p/AF1QipNf2abIeH-URKodmPTyJhIXJVpgBoaIJwKL2bO2=w408-h544-k-no", "link")</f>
        <v>link</v>
      </c>
    </row>
    <row r="3540" spans="1:4" x14ac:dyDescent="0.45">
      <c r="A3540" t="s">
        <v>3542</v>
      </c>
      <c r="B3540">
        <v>33.977223100000003</v>
      </c>
      <c r="C3540">
        <v>-118.4174507</v>
      </c>
      <c r="D3540" t="str">
        <f>HYPERLINK("https://streetviewpixels-pa.googleapis.com/v1/thumbnail?panoid=P9FKaOPdV9-HdJsZL8H39A&amp;cb_client=search.gws-prod.gps&amp;w=408&amp;h=240&amp;yaw=180.79857&amp;pitch=0&amp;thumbfov=100", "link")</f>
        <v>link</v>
      </c>
    </row>
    <row r="3541" spans="1:4" x14ac:dyDescent="0.45">
      <c r="A3541" t="s">
        <v>3543</v>
      </c>
      <c r="B3541">
        <v>33.9547892</v>
      </c>
      <c r="C3541">
        <v>-118.39754689999999</v>
      </c>
      <c r="D3541" t="str">
        <f>HYPERLINK("https://streetviewpixels-pa.googleapis.com/v1/thumbnail?panoid=4gT-NqMbAZMBgN_OwzAAag&amp;cb_client=search.gws-prod.gps&amp;w=408&amp;h=240&amp;yaw=32.531662&amp;pitch=0&amp;thumbfov=100", "link")</f>
        <v>link</v>
      </c>
    </row>
    <row r="3542" spans="1:4" x14ac:dyDescent="0.45">
      <c r="A3542" t="s">
        <v>3544</v>
      </c>
      <c r="B3542">
        <v>33.956165499999997</v>
      </c>
      <c r="C3542">
        <v>-118.39681</v>
      </c>
      <c r="D3542" t="str">
        <f>HYPERLINK("https://streetviewpixels-pa.googleapis.com/v1/thumbnail?panoid=Ga_WlhMCkbDHkzp8ZmuvSg&amp;cb_client=search.gws-prod.gps&amp;w=408&amp;h=240&amp;yaw=110.68179&amp;pitch=0&amp;thumbfov=100", "link")</f>
        <v>link</v>
      </c>
    </row>
    <row r="3543" spans="1:4" x14ac:dyDescent="0.45">
      <c r="A3543" t="s">
        <v>3545</v>
      </c>
      <c r="B3543">
        <v>33.954103199999899</v>
      </c>
      <c r="C3543">
        <v>-118.3972411</v>
      </c>
      <c r="D3543" t="str">
        <f>HYPERLINK("https://streetviewpixels-pa.googleapis.com/v1/thumbnail?panoid=ZwFHlckfBPUpL4U0hWJKqw&amp;cb_client=search.gws-prod.gps&amp;w=408&amp;h=240&amp;yaw=40.088036&amp;pitch=0&amp;thumbfov=100", "link")</f>
        <v>link</v>
      </c>
    </row>
    <row r="3544" spans="1:4" x14ac:dyDescent="0.45">
      <c r="A3544" t="s">
        <v>3546</v>
      </c>
      <c r="B3544">
        <v>33.955148000000001</v>
      </c>
      <c r="C3544">
        <v>-118.39671800000001</v>
      </c>
      <c r="D3544" t="str">
        <f>HYPERLINK("https://streetviewpixels-pa.googleapis.com/v1/thumbnail?panoid=dWDcQuGJuZTyKoEXYR-cWg&amp;cb_client=search.gws-prod.gps&amp;w=408&amp;h=240&amp;yaw=102.898155&amp;pitch=0&amp;thumbfov=100", "link")</f>
        <v>link</v>
      </c>
    </row>
    <row r="3545" spans="1:4" x14ac:dyDescent="0.45">
      <c r="A3545" t="s">
        <v>3547</v>
      </c>
      <c r="B3545">
        <v>33.968252399999997</v>
      </c>
      <c r="C3545">
        <v>-118.41637470000001</v>
      </c>
      <c r="D3545" t="str">
        <f>HYPERLINK("https://streetviewpixels-pa.googleapis.com/v1/thumbnail?panoid=DOEuzdD3mdwn9768aidB2A&amp;cb_client=search.gws-prod.gps&amp;w=408&amp;h=240&amp;yaw=217.71422&amp;pitch=0&amp;thumbfov=100", "link")</f>
        <v>link</v>
      </c>
    </row>
    <row r="3546" spans="1:4" x14ac:dyDescent="0.45">
      <c r="A3546" t="s">
        <v>3548</v>
      </c>
      <c r="B3546">
        <v>33.969403999999997</v>
      </c>
      <c r="C3546">
        <v>-118.41422660000001</v>
      </c>
      <c r="D3546" t="str">
        <f>HYPERLINK("https://streetviewpixels-pa.googleapis.com/v1/thumbnail?panoid=2x7inju_euT1q6d3oLfKdw&amp;cb_client=search.gws-prod.gps&amp;w=408&amp;h=240&amp;yaw=261.88382&amp;pitch=0&amp;thumbfov=100", "link")</f>
        <v>link</v>
      </c>
    </row>
    <row r="3547" spans="1:4" x14ac:dyDescent="0.45">
      <c r="A3547" t="s">
        <v>3549</v>
      </c>
      <c r="B3547">
        <v>33.969340199999998</v>
      </c>
      <c r="C3547">
        <v>-118.41383999999999</v>
      </c>
      <c r="D3547" t="str">
        <f>HYPERLINK("https://streetviewpixels-pa.googleapis.com/v1/thumbnail?panoid=gWI4ZD8MNIA5PDEp_Zp8ew&amp;cb_client=search.gws-prod.gps&amp;w=408&amp;h=240&amp;yaw=167.71597&amp;pitch=0&amp;thumbfov=100", "link")</f>
        <v>link</v>
      </c>
    </row>
    <row r="3548" spans="1:4" x14ac:dyDescent="0.45">
      <c r="A3548" t="s">
        <v>3550</v>
      </c>
      <c r="B3548">
        <v>33.971363500000002</v>
      </c>
      <c r="C3548">
        <v>-118.41461080000001</v>
      </c>
      <c r="D3548" t="str">
        <f>HYPERLINK("https://streetviewpixels-pa.googleapis.com/v1/thumbnail?panoid=daopdjY-f08ASbJv9zo2jA&amp;cb_client=search.gws-prod.gps&amp;w=408&amp;h=240&amp;yaw=101.65916&amp;pitch=0&amp;thumbfov=100", "link")</f>
        <v>link</v>
      </c>
    </row>
    <row r="3549" spans="1:4" x14ac:dyDescent="0.45">
      <c r="A3549" t="s">
        <v>3551</v>
      </c>
      <c r="B3549">
        <v>33.971166599999997</v>
      </c>
      <c r="C3549">
        <v>-118.4138612</v>
      </c>
      <c r="D3549" t="str">
        <f>HYPERLINK("https://streetviewpixels-pa.googleapis.com/v1/thumbnail?panoid=wwwV1UahRbWZm3BxCLGL9A&amp;cb_client=search.gws-prod.gps&amp;w=408&amp;h=240&amp;yaw=256.90485&amp;pitch=0&amp;thumbfov=100", "link")</f>
        <v>link</v>
      </c>
    </row>
    <row r="3550" spans="1:4" x14ac:dyDescent="0.45">
      <c r="A3550" t="s">
        <v>3552</v>
      </c>
      <c r="B3550">
        <v>33.972256399999999</v>
      </c>
      <c r="C3550">
        <v>-118.41801890000001</v>
      </c>
      <c r="D3550" t="str">
        <f>HYPERLINK("https://streetviewpixels-pa.googleapis.com/v1/thumbnail?panoid=sPHBlj6DXzKGHQpXiuOQtw&amp;cb_client=search.gws-prod.gps&amp;w=408&amp;h=240&amp;yaw=235.21155&amp;pitch=0&amp;thumbfov=100", "link")</f>
        <v>link</v>
      </c>
    </row>
    <row r="3551" spans="1:4" x14ac:dyDescent="0.45">
      <c r="A3551" t="s">
        <v>3553</v>
      </c>
      <c r="B3551">
        <v>33.972292600000003</v>
      </c>
      <c r="C3551">
        <v>-118.41739389999999</v>
      </c>
      <c r="D3551" t="str">
        <f>HYPERLINK("https://lh5.googleusercontent.com/p/AF1QipPnKlrwI6am0FxLtoc2TkBZhKBu-_mbDYauilu-=w408-h306-k-no", "link")</f>
        <v>link</v>
      </c>
    </row>
    <row r="3552" spans="1:4" x14ac:dyDescent="0.45">
      <c r="A3552" t="s">
        <v>3554</v>
      </c>
      <c r="B3552">
        <v>33.9794476</v>
      </c>
      <c r="C3552">
        <v>-118.414428</v>
      </c>
      <c r="D3552" t="str">
        <f>HYPERLINK("https://streetviewpixels-pa.googleapis.com/v1/thumbnail?panoid=eHIWhFxho9AKeiaKlWS2Uw&amp;cb_client=search.gws-prod.gps&amp;w=408&amp;h=240&amp;yaw=222.60538&amp;pitch=0&amp;thumbfov=100", "link")</f>
        <v>link</v>
      </c>
    </row>
    <row r="3553" spans="1:4" x14ac:dyDescent="0.45">
      <c r="A3553" t="s">
        <v>3555</v>
      </c>
      <c r="B3553">
        <v>33.979236800000002</v>
      </c>
      <c r="C3553">
        <v>-118.41139250000001</v>
      </c>
      <c r="D3553" t="str">
        <f>HYPERLINK("https://streetviewpixels-pa.googleapis.com/v1/thumbnail?panoid=tRKfklX7n2NQZg28MloGpg&amp;cb_client=search.gws-prod.gps&amp;w=408&amp;h=240&amp;yaw=261.66068&amp;pitch=0&amp;thumbfov=100", "link")</f>
        <v>link</v>
      </c>
    </row>
    <row r="3554" spans="1:4" x14ac:dyDescent="0.45">
      <c r="A3554" t="s">
        <v>3556</v>
      </c>
      <c r="B3554">
        <v>33.977651199999897</v>
      </c>
      <c r="C3554">
        <v>-118.4077217</v>
      </c>
      <c r="D3554" t="str">
        <f>HYPERLINK("https://streetviewpixels-pa.googleapis.com/v1/thumbnail?panoid=YqPPpfLVOsK5IB3a7xkvCg&amp;cb_client=search.gws-prod.gps&amp;w=408&amp;h=240&amp;yaw=332.4933&amp;pitch=0&amp;thumbfov=100", "link")</f>
        <v>link</v>
      </c>
    </row>
    <row r="3555" spans="1:4" x14ac:dyDescent="0.45">
      <c r="A3555" t="s">
        <v>3557</v>
      </c>
      <c r="B3555">
        <v>33.981153900000002</v>
      </c>
      <c r="C3555">
        <v>-118.4158087</v>
      </c>
      <c r="D3555" t="str">
        <f>HYPERLINK("https://streetviewpixels-pa.googleapis.com/v1/thumbnail?panoid=60Jc2AAcIny6aVh6dwGt-g&amp;cb_client=search.gws-prod.gps&amp;w=408&amp;h=240&amp;yaw=332.34674&amp;pitch=0&amp;thumbfov=100", "link")</f>
        <v>link</v>
      </c>
    </row>
    <row r="3556" spans="1:4" x14ac:dyDescent="0.45">
      <c r="A3556" t="s">
        <v>3558</v>
      </c>
      <c r="B3556">
        <v>33.981057</v>
      </c>
      <c r="C3556">
        <v>-118.41443339999999</v>
      </c>
      <c r="D3556" t="str">
        <f>HYPERLINK("https://streetviewpixels-pa.googleapis.com/v1/thumbnail?panoid=uj7BccKO0FijBte_Xf7IGQ&amp;cb_client=search.gws-prod.gps&amp;w=408&amp;h=240&amp;yaw=135.11565&amp;pitch=0&amp;thumbfov=100", "link")</f>
        <v>link</v>
      </c>
    </row>
    <row r="3557" spans="1:4" x14ac:dyDescent="0.45">
      <c r="A3557" t="s">
        <v>3559</v>
      </c>
      <c r="B3557">
        <v>33.978255900000001</v>
      </c>
      <c r="C3557">
        <v>-118.4059044</v>
      </c>
      <c r="D3557" t="str">
        <f>HYPERLINK("https://streetviewpixels-pa.googleapis.com/v1/thumbnail?panoid=nHlgQfMX_emD3LdkTOHFMA&amp;cb_client=search.gws-prod.gps&amp;w=408&amp;h=240&amp;yaw=200.71721&amp;pitch=0&amp;thumbfov=100", "link")</f>
        <v>link</v>
      </c>
    </row>
    <row r="3558" spans="1:4" x14ac:dyDescent="0.45">
      <c r="A3558" t="s">
        <v>3560</v>
      </c>
      <c r="B3558">
        <v>33.982676300000001</v>
      </c>
      <c r="C3558">
        <v>-118.40528879999999</v>
      </c>
      <c r="D3558" t="str">
        <f>HYPERLINK("https://streetviewpixels-pa.googleapis.com/v1/thumbnail?panoid=pZAE_HaPtqbf10lULzeggg&amp;cb_client=search.gws-prod.gps&amp;w=408&amp;h=240&amp;yaw=133.86197&amp;pitch=0&amp;thumbfov=100", "link")</f>
        <v>link</v>
      </c>
    </row>
    <row r="3559" spans="1:4" x14ac:dyDescent="0.45">
      <c r="A3559" t="s">
        <v>3561</v>
      </c>
      <c r="B3559">
        <v>33.980634299999998</v>
      </c>
      <c r="C3559">
        <v>-118.4040787</v>
      </c>
      <c r="D3559" t="s">
        <v>5</v>
      </c>
    </row>
    <row r="3560" spans="1:4" x14ac:dyDescent="0.45">
      <c r="A3560" t="s">
        <v>3562</v>
      </c>
      <c r="B3560">
        <v>33.983314100000001</v>
      </c>
      <c r="C3560">
        <v>-118.4036899</v>
      </c>
      <c r="D3560" t="s">
        <v>5</v>
      </c>
    </row>
    <row r="3561" spans="1:4" x14ac:dyDescent="0.45">
      <c r="A3561" t="s">
        <v>3563</v>
      </c>
      <c r="B3561">
        <v>33.983389899999999</v>
      </c>
      <c r="C3561">
        <v>-118.40362229999999</v>
      </c>
      <c r="D3561" t="s">
        <v>5</v>
      </c>
    </row>
    <row r="3562" spans="1:4" x14ac:dyDescent="0.45">
      <c r="A3562" t="s">
        <v>3564</v>
      </c>
      <c r="B3562">
        <v>33.984077599999999</v>
      </c>
      <c r="C3562">
        <v>-118.40334439999999</v>
      </c>
      <c r="D3562" t="str">
        <f>HYPERLINK("https://streetviewpixels-pa.googleapis.com/v1/thumbnail?panoid=IuxmdRIV_3EZduIAVKPBVw&amp;cb_client=search.gws-prod.gps&amp;w=408&amp;h=240&amp;yaw=330.90878&amp;pitch=0&amp;thumbfov=100", "link")</f>
        <v>link</v>
      </c>
    </row>
    <row r="3563" spans="1:4" x14ac:dyDescent="0.45">
      <c r="A3563" t="s">
        <v>3565</v>
      </c>
      <c r="B3563">
        <v>33.983077000000002</v>
      </c>
      <c r="C3563">
        <v>-118.4153661</v>
      </c>
      <c r="D3563" t="str">
        <f>HYPERLINK("https://streetviewpixels-pa.googleapis.com/v1/thumbnail?panoid=Ck3cHIRku8n5nIHhTg0OqA&amp;cb_client=search.gws-prod.gps&amp;w=408&amp;h=240&amp;yaw=314.6973&amp;pitch=0&amp;thumbfov=100", "link")</f>
        <v>link</v>
      </c>
    </row>
    <row r="3564" spans="1:4" x14ac:dyDescent="0.45">
      <c r="A3564" t="s">
        <v>3566</v>
      </c>
      <c r="B3564">
        <v>33.9925408</v>
      </c>
      <c r="C3564">
        <v>-118.4235022</v>
      </c>
      <c r="D3564" t="str">
        <f>HYPERLINK("https://streetviewpixels-pa.googleapis.com/v1/thumbnail?panoid=TFIKOYmEPSPPJEXvnQIBlQ&amp;cb_client=search.gws-prod.gps&amp;w=408&amp;h=240&amp;yaw=11.399974&amp;pitch=0&amp;thumbfov=100", "link")</f>
        <v>link</v>
      </c>
    </row>
    <row r="3565" spans="1:4" x14ac:dyDescent="0.45">
      <c r="A3565" t="s">
        <v>3567</v>
      </c>
      <c r="B3565">
        <v>34.056682899999998</v>
      </c>
      <c r="C3565">
        <v>-117.7515394</v>
      </c>
      <c r="D3565" t="s">
        <v>5</v>
      </c>
    </row>
    <row r="3566" spans="1:4" x14ac:dyDescent="0.45">
      <c r="A3566" t="s">
        <v>3568</v>
      </c>
      <c r="B3566">
        <v>34.056247300000003</v>
      </c>
      <c r="C3566">
        <v>-117.75127689999999</v>
      </c>
      <c r="D3566" t="str">
        <f>HYPERLINK("https://streetviewpixels-pa.googleapis.com/v1/thumbnail?panoid=NGrJuQTLHvj5JbWJXZnLIQ&amp;cb_client=search.gws-prod.gps&amp;w=408&amp;h=240&amp;yaw=352.4205&amp;pitch=0&amp;thumbfov=100", "link")</f>
        <v>link</v>
      </c>
    </row>
    <row r="3567" spans="1:4" x14ac:dyDescent="0.45">
      <c r="A3567" t="s">
        <v>3569</v>
      </c>
      <c r="B3567">
        <v>34.054749200000003</v>
      </c>
      <c r="C3567">
        <v>-117.7511447</v>
      </c>
      <c r="D3567" t="str">
        <f>HYPERLINK("https://streetviewpixels-pa.googleapis.com/v1/thumbnail?panoid=3sVO5I5MtuHkh-7pATwDqg&amp;cb_client=search.gws-prod.gps&amp;w=408&amp;h=240&amp;yaw=165.4052&amp;pitch=0&amp;thumbfov=100", "link")</f>
        <v>link</v>
      </c>
    </row>
    <row r="3568" spans="1:4" x14ac:dyDescent="0.45">
      <c r="A3568" t="s">
        <v>3570</v>
      </c>
      <c r="B3568">
        <v>34.053221600000001</v>
      </c>
      <c r="C3568">
        <v>-117.7529072</v>
      </c>
      <c r="D3568" t="str">
        <f>HYPERLINK("https://streetviewpixels-pa.googleapis.com/v1/thumbnail?panoid=iMw1q_omNnREbstIwWQ-JQ&amp;cb_client=search.gws-prod.gps&amp;w=408&amp;h=240&amp;yaw=268.02963&amp;pitch=0&amp;thumbfov=100", "link")</f>
        <v>link</v>
      </c>
    </row>
    <row r="3569" spans="1:4" x14ac:dyDescent="0.45">
      <c r="A3569" t="s">
        <v>3571</v>
      </c>
      <c r="B3569">
        <v>34.0567005999999</v>
      </c>
      <c r="C3569">
        <v>-117.7484716</v>
      </c>
      <c r="D3569" t="s">
        <v>5</v>
      </c>
    </row>
    <row r="3570" spans="1:4" x14ac:dyDescent="0.45">
      <c r="A3570" t="s">
        <v>3572</v>
      </c>
      <c r="B3570">
        <v>34.052720099999902</v>
      </c>
      <c r="C3570">
        <v>-117.75219439999999</v>
      </c>
      <c r="D3570" t="str">
        <f>HYPERLINK("https://lh5.googleusercontent.com/p/AF1QipMuoN54ijY6zw8V6xy9nXDqALr6UbDuAjdJLVJh=w408-h306-k-no", "link")</f>
        <v>link</v>
      </c>
    </row>
    <row r="3571" spans="1:4" x14ac:dyDescent="0.45">
      <c r="A3571" t="s">
        <v>3573</v>
      </c>
      <c r="B3571">
        <v>34.057475699999998</v>
      </c>
      <c r="C3571">
        <v>-117.7475055</v>
      </c>
      <c r="D3571" t="str">
        <f>HYPERLINK("https://streetviewpixels-pa.googleapis.com/v1/thumbnail?panoid=fKLL2w0cvCuQV7ruEJHh6w&amp;cb_client=search.gws-prod.gps&amp;w=408&amp;h=240&amp;yaw=93.150826&amp;pitch=0&amp;thumbfov=100", "link")</f>
        <v>link</v>
      </c>
    </row>
    <row r="3572" spans="1:4" x14ac:dyDescent="0.45">
      <c r="A3572" t="s">
        <v>3574</v>
      </c>
      <c r="B3572">
        <v>34.056420600000003</v>
      </c>
      <c r="C3572">
        <v>-117.7473892</v>
      </c>
      <c r="D3572" t="str">
        <f>HYPERLINK("https://streetviewpixels-pa.googleapis.com/v1/thumbnail?panoid=UFf5-tkEFO7cRA5pVOVByg&amp;cb_client=search.gws-prod.gps&amp;w=408&amp;h=240&amp;yaw=352.3119&amp;pitch=0&amp;thumbfov=100", "link")</f>
        <v>link</v>
      </c>
    </row>
    <row r="3573" spans="1:4" x14ac:dyDescent="0.45">
      <c r="A3573" t="s">
        <v>3575</v>
      </c>
      <c r="B3573">
        <v>34.057260599999999</v>
      </c>
      <c r="C3573">
        <v>-117.7472927</v>
      </c>
      <c r="D3573" t="str">
        <f>HYPERLINK("https://lh5.googleusercontent.com/p/AF1QipMZB-KsseoLAFmSmjskAH8jPLgP86rl-HDhpiLX=w408-h544-k-no", "link")</f>
        <v>link</v>
      </c>
    </row>
    <row r="3574" spans="1:4" x14ac:dyDescent="0.45">
      <c r="A3574" t="s">
        <v>3576</v>
      </c>
      <c r="B3574">
        <v>34.057473899999998</v>
      </c>
      <c r="C3574">
        <v>-117.7441331</v>
      </c>
      <c r="D3574" t="str">
        <f>HYPERLINK("https://streetviewpixels-pa.googleapis.com/v1/thumbnail?panoid=9PJqPhD7XZOst3OxVdSycQ&amp;cb_client=search.gws-prod.gps&amp;w=408&amp;h=240&amp;yaw=138.19698&amp;pitch=0&amp;thumbfov=100", "link")</f>
        <v>link</v>
      </c>
    </row>
    <row r="3575" spans="1:4" x14ac:dyDescent="0.45">
      <c r="A3575" t="s">
        <v>3577</v>
      </c>
      <c r="B3575">
        <v>34.062691000000001</v>
      </c>
      <c r="C3575">
        <v>-117.7206599</v>
      </c>
      <c r="D3575" t="s">
        <v>5</v>
      </c>
    </row>
    <row r="3576" spans="1:4" x14ac:dyDescent="0.45">
      <c r="A3576" t="s">
        <v>3578</v>
      </c>
      <c r="B3576">
        <v>34.200764800000002</v>
      </c>
      <c r="C3576">
        <v>-118.5338903</v>
      </c>
      <c r="D3576" t="str">
        <f>HYPERLINK("https://streetviewpixels-pa.googleapis.com/v1/thumbnail?panoid=a0gd6sbWP7GwXYKHSHX0fg&amp;cb_client=search.gws-prod.gps&amp;w=408&amp;h=240&amp;yaw=339.5295&amp;pitch=0&amp;thumbfov=100", "link")</f>
        <v>link</v>
      </c>
    </row>
    <row r="3577" spans="1:4" x14ac:dyDescent="0.45">
      <c r="A3577" t="s">
        <v>3579</v>
      </c>
      <c r="B3577">
        <v>34.200452499999997</v>
      </c>
      <c r="C3577">
        <v>-118.5330093</v>
      </c>
      <c r="D3577" t="str">
        <f>HYPERLINK("https://streetviewpixels-pa.googleapis.com/v1/thumbnail?panoid=rxrAwWToW97jLJa0iAUT4Q&amp;cb_client=search.gws-prod.gps&amp;w=408&amp;h=240&amp;yaw=152.44911&amp;pitch=0&amp;thumbfov=100", "link")</f>
        <v>link</v>
      </c>
    </row>
    <row r="3578" spans="1:4" x14ac:dyDescent="0.45">
      <c r="A3578" t="s">
        <v>3580</v>
      </c>
      <c r="B3578">
        <v>34.200318299999999</v>
      </c>
      <c r="C3578">
        <v>-118.5351124</v>
      </c>
      <c r="D3578" t="str">
        <f>HYPERLINK("https://streetviewpixels-pa.googleapis.com/v1/thumbnail?panoid=3GD90zH20456f8oEv8qbeQ&amp;cb_client=search.gws-prod.gps&amp;w=408&amp;h=240&amp;yaw=279.19208&amp;pitch=0&amp;thumbfov=100", "link")</f>
        <v>link</v>
      </c>
    </row>
    <row r="3579" spans="1:4" x14ac:dyDescent="0.45">
      <c r="A3579" t="s">
        <v>3581</v>
      </c>
      <c r="B3579">
        <v>34.200240999999998</v>
      </c>
      <c r="C3579">
        <v>-118.5369905</v>
      </c>
      <c r="D3579" t="s">
        <v>5</v>
      </c>
    </row>
    <row r="3580" spans="1:4" x14ac:dyDescent="0.45">
      <c r="A3580" t="s">
        <v>3582</v>
      </c>
      <c r="B3580">
        <v>34.202010999999999</v>
      </c>
      <c r="C3580">
        <v>-118.5369965</v>
      </c>
      <c r="D3580" t="str">
        <f>HYPERLINK("https://streetviewpixels-pa.googleapis.com/v1/thumbnail?panoid=Yasr9eZv1SMWbM_y5KOJ8A&amp;cb_client=search.gws-prod.gps&amp;w=408&amp;h=240&amp;yaw=2.077398&amp;pitch=0&amp;thumbfov=100", "link")</f>
        <v>link</v>
      </c>
    </row>
    <row r="3581" spans="1:4" x14ac:dyDescent="0.45">
      <c r="A3581" t="s">
        <v>3583</v>
      </c>
      <c r="B3581">
        <v>34.187176899999997</v>
      </c>
      <c r="C3581">
        <v>-118.52795020000001</v>
      </c>
      <c r="D3581" t="s">
        <v>5</v>
      </c>
    </row>
    <row r="3582" spans="1:4" x14ac:dyDescent="0.45">
      <c r="A3582" t="s">
        <v>3584</v>
      </c>
      <c r="B3582">
        <v>37.544927199999997</v>
      </c>
      <c r="C3582">
        <v>-77.439091199999993</v>
      </c>
      <c r="D3582" t="s">
        <v>5</v>
      </c>
    </row>
    <row r="3583" spans="1:4" x14ac:dyDescent="0.45">
      <c r="A3583" t="s">
        <v>3585</v>
      </c>
      <c r="B3583">
        <v>37.540784599999903</v>
      </c>
      <c r="C3583">
        <v>-77.437943500000003</v>
      </c>
      <c r="D3583" t="str">
        <f>HYPERLINK("https://streetviewpixels-pa.googleapis.com/v1/thumbnail?panoid=S0Z3R-cLjNBEX3kuLVLZwQ&amp;cb_client=search.gws-prod.gps&amp;w=408&amp;h=240&amp;yaw=303.68768&amp;pitch=0&amp;thumbfov=100", "link")</f>
        <v>link</v>
      </c>
    </row>
    <row r="3584" spans="1:4" x14ac:dyDescent="0.45">
      <c r="A3584" t="s">
        <v>3586</v>
      </c>
      <c r="B3584">
        <v>37.544791299999901</v>
      </c>
      <c r="C3584">
        <v>-77.4418601</v>
      </c>
      <c r="D3584" t="str">
        <f>HYPERLINK("https://streetviewpixels-pa.googleapis.com/v1/thumbnail?panoid=8yVp_eQrSBRH9ELDra_MPA&amp;cb_client=search.gws-prod.gps&amp;w=408&amp;h=240&amp;yaw=329.11026&amp;pitch=0&amp;thumbfov=100", "link")</f>
        <v>link</v>
      </c>
    </row>
    <row r="3585" spans="1:4" x14ac:dyDescent="0.45">
      <c r="A3585" t="s">
        <v>3587</v>
      </c>
      <c r="B3585">
        <v>37.544346500000003</v>
      </c>
      <c r="C3585">
        <v>-77.4426402</v>
      </c>
      <c r="D3585" t="str">
        <f>HYPERLINK("https://streetviewpixels-pa.googleapis.com/v1/thumbnail?panoid=soPiLNsf5sgQR00umVsV3A&amp;cb_client=search.gws-prod.gps&amp;w=408&amp;h=240&amp;yaw=258.40042&amp;pitch=0&amp;thumbfov=100", "link")</f>
        <v>link</v>
      </c>
    </row>
    <row r="3586" spans="1:4" x14ac:dyDescent="0.45">
      <c r="A3586" t="s">
        <v>3588</v>
      </c>
      <c r="B3586">
        <v>37.544477000000001</v>
      </c>
      <c r="C3586">
        <v>-77.442632199999906</v>
      </c>
      <c r="D3586" t="str">
        <f>HYPERLINK("https://streetviewpixels-pa.googleapis.com/v1/thumbnail?panoid=HR7CZH7L9DB2e8xdHprI_Q&amp;cb_client=search.gws-prod.gps&amp;w=408&amp;h=240&amp;yaw=296.3354&amp;pitch=0&amp;thumbfov=100", "link")</f>
        <v>link</v>
      </c>
    </row>
    <row r="3587" spans="1:4" x14ac:dyDescent="0.45">
      <c r="A3587" t="s">
        <v>3589</v>
      </c>
      <c r="B3587">
        <v>37.540783099999999</v>
      </c>
      <c r="C3587">
        <v>-77.4376757</v>
      </c>
      <c r="D3587" t="str">
        <f>HYPERLINK("https://streetviewpixels-pa.googleapis.com/v1/thumbnail?panoid=S0Z3R-cLjNBEX3kuLVLZwQ&amp;cb_client=search.gws-prod.gps&amp;w=408&amp;h=240&amp;yaw=303.68768&amp;pitch=0&amp;thumbfov=100", "link")</f>
        <v>link</v>
      </c>
    </row>
    <row r="3588" spans="1:4" x14ac:dyDescent="0.45">
      <c r="A3588" t="s">
        <v>3590</v>
      </c>
      <c r="B3588">
        <v>37.540775099999998</v>
      </c>
      <c r="C3588">
        <v>-77.437684199999893</v>
      </c>
      <c r="D3588" t="str">
        <f>HYPERLINK("https://streetviewpixels-pa.googleapis.com/v1/thumbnail?panoid=S0Z3R-cLjNBEX3kuLVLZwQ&amp;cb_client=search.gws-prod.gps&amp;w=408&amp;h=240&amp;yaw=303.68768&amp;pitch=0&amp;thumbfov=100", "link")</f>
        <v>link</v>
      </c>
    </row>
    <row r="3589" spans="1:4" x14ac:dyDescent="0.45">
      <c r="A3589" t="s">
        <v>3591</v>
      </c>
      <c r="B3589">
        <v>37.539807400000001</v>
      </c>
      <c r="C3589">
        <v>-77.4401309</v>
      </c>
      <c r="D3589" t="str">
        <f>HYPERLINK("https://lh5.googleusercontent.com/p/AF1QipMAn5SmWfO9jVEbwqLX3uTU0SD52qVtR1uu8k_I=w408-h544-k-no", "link")</f>
        <v>link</v>
      </c>
    </row>
    <row r="3590" spans="1:4" x14ac:dyDescent="0.45">
      <c r="A3590" t="s">
        <v>3592</v>
      </c>
      <c r="B3590">
        <v>37.542437300000003</v>
      </c>
      <c r="C3590">
        <v>-77.443770799999996</v>
      </c>
      <c r="D3590" t="str">
        <f>HYPERLINK("https://lh5.googleusercontent.com/p/AF1QipPbBdCzkjVfnWo9BgEkenAET6fGJ9i1W8JD6lY2=w408-h263-k-no", "link")</f>
        <v>link</v>
      </c>
    </row>
    <row r="3591" spans="1:4" x14ac:dyDescent="0.45">
      <c r="A3591" t="s">
        <v>3593</v>
      </c>
      <c r="B3591">
        <v>37.545406100000001</v>
      </c>
      <c r="C3591">
        <v>-77.439527900000002</v>
      </c>
      <c r="D3591" t="str">
        <f>HYPERLINK("https://streetviewpixels-pa.googleapis.com/v1/thumbnail?panoid=zkyzcEwT7jfyTuf9osGc9g&amp;cb_client=search.gws-prod.gps&amp;w=408&amp;h=240&amp;yaw=226.38919&amp;pitch=0&amp;thumbfov=100", "link")</f>
        <v>link</v>
      </c>
    </row>
    <row r="3592" spans="1:4" x14ac:dyDescent="0.45">
      <c r="A3592" t="s">
        <v>3594</v>
      </c>
      <c r="B3592">
        <v>37.545124899999998</v>
      </c>
      <c r="C3592">
        <v>-77.438479200000003</v>
      </c>
      <c r="D3592" t="str">
        <f>HYPERLINK("https://streetviewpixels-pa.googleapis.com/v1/thumbnail?panoid=Lbgnduq-AxudUCG6SZ8SmA&amp;cb_client=search.gws-prod.gps&amp;w=408&amp;h=240&amp;yaw=34.270367&amp;pitch=0&amp;thumbfov=100", "link")</f>
        <v>link</v>
      </c>
    </row>
    <row r="3593" spans="1:4" x14ac:dyDescent="0.45">
      <c r="A3593" t="s">
        <v>3595</v>
      </c>
      <c r="B3593">
        <v>37.541006599999903</v>
      </c>
      <c r="C3593">
        <v>-77.437174799999994</v>
      </c>
      <c r="D3593" t="str">
        <f>HYPERLINK("https://streetviewpixels-pa.googleapis.com/v1/thumbnail?panoid=QUMArtXjjnbapYgMWdwApw&amp;cb_client=search.gws-prod.gps&amp;w=408&amp;h=240&amp;yaw=197.81151&amp;pitch=0&amp;thumbfov=100", "link")</f>
        <v>link</v>
      </c>
    </row>
    <row r="3594" spans="1:4" x14ac:dyDescent="0.45">
      <c r="A3594" t="s">
        <v>3596</v>
      </c>
      <c r="B3594">
        <v>37.540987100000002</v>
      </c>
      <c r="C3594">
        <v>-77.437161799999998</v>
      </c>
      <c r="D3594" t="str">
        <f>HYPERLINK("https://streetviewpixels-pa.googleapis.com/v1/thumbnail?panoid=QUMArtXjjnbapYgMWdwApw&amp;cb_client=search.gws-prod.gps&amp;w=408&amp;h=240&amp;yaw=195.39063&amp;pitch=0&amp;thumbfov=100", "link")</f>
        <v>link</v>
      </c>
    </row>
    <row r="3595" spans="1:4" x14ac:dyDescent="0.45">
      <c r="A3595" t="s">
        <v>3597</v>
      </c>
      <c r="B3595">
        <v>37.540993800000003</v>
      </c>
      <c r="C3595">
        <v>-77.437152599999905</v>
      </c>
      <c r="D3595" t="str">
        <f>HYPERLINK("https://streetviewpixels-pa.googleapis.com/v1/thumbnail?panoid=QUMArtXjjnbapYgMWdwApw&amp;cb_client=search.gws-prod.gps&amp;w=408&amp;h=240&amp;yaw=194.56612&amp;pitch=0&amp;thumbfov=100", "link")</f>
        <v>link</v>
      </c>
    </row>
    <row r="3596" spans="1:4" x14ac:dyDescent="0.45">
      <c r="A3596" t="s">
        <v>3598</v>
      </c>
      <c r="B3596">
        <v>37.5401788</v>
      </c>
      <c r="C3596">
        <v>-77.437944799999997</v>
      </c>
      <c r="D3596" t="str">
        <f>HYPERLINK("https://streetviewpixels-pa.googleapis.com/v1/thumbnail?panoid=crWgZxyMFHHIiYv2C4Mcsg&amp;cb_client=search.gws-prod.gps&amp;w=408&amp;h=240&amp;yaw=310.75415&amp;pitch=0&amp;thumbfov=100", "link")</f>
        <v>link</v>
      </c>
    </row>
    <row r="3597" spans="1:4" x14ac:dyDescent="0.45">
      <c r="A3597" t="s">
        <v>3599</v>
      </c>
      <c r="B3597">
        <v>37.545380399999999</v>
      </c>
      <c r="C3597">
        <v>-77.438732599999994</v>
      </c>
      <c r="D3597" t="s">
        <v>5</v>
      </c>
    </row>
    <row r="3598" spans="1:4" x14ac:dyDescent="0.45">
      <c r="A3598" t="s">
        <v>3600</v>
      </c>
      <c r="B3598">
        <v>37.545682399999997</v>
      </c>
      <c r="C3598">
        <v>-77.4402884</v>
      </c>
      <c r="D3598" t="str">
        <f>HYPERLINK("https://streetviewpixels-pa.googleapis.com/v1/thumbnail?panoid=7x4h4l3dIHPfEmifhwmZuA&amp;cb_client=search.gws-prod.gps&amp;w=408&amp;h=240&amp;yaw=125.242836&amp;pitch=0&amp;thumbfov=100", "link")</f>
        <v>link</v>
      </c>
    </row>
    <row r="3599" spans="1:4" x14ac:dyDescent="0.45">
      <c r="A3599" t="s">
        <v>3601</v>
      </c>
      <c r="B3599">
        <v>37.541850500000002</v>
      </c>
      <c r="C3599">
        <v>-77.436401500000002</v>
      </c>
      <c r="D3599" t="s">
        <v>5</v>
      </c>
    </row>
    <row r="3600" spans="1:4" x14ac:dyDescent="0.45">
      <c r="A3600" t="s">
        <v>3602</v>
      </c>
      <c r="B3600">
        <v>37.541861999999902</v>
      </c>
      <c r="C3600">
        <v>-77.436358999999996</v>
      </c>
      <c r="D3600" t="s">
        <v>5</v>
      </c>
    </row>
    <row r="3601" spans="1:4" x14ac:dyDescent="0.45">
      <c r="A3601" t="s">
        <v>3603</v>
      </c>
      <c r="B3601">
        <v>37.542594000000001</v>
      </c>
      <c r="C3601">
        <v>-77.440213299999996</v>
      </c>
      <c r="D3601" t="str">
        <f>HYPERLINK("https://streetviewpixels-pa.googleapis.com/v1/thumbnail?panoid=DOGdPDsFKRJT5FbztvtK8w&amp;cb_client=search.gws-prod.gps&amp;w=408&amp;h=240&amp;yaw=30.792496&amp;pitch=0&amp;thumbfov=100", "link")</f>
        <v>link</v>
      </c>
    </row>
    <row r="3602" spans="1:4" x14ac:dyDescent="0.45">
      <c r="A3602" t="s">
        <v>3604</v>
      </c>
      <c r="B3602">
        <v>37.542426499999998</v>
      </c>
      <c r="C3602">
        <v>-77.439180499999907</v>
      </c>
      <c r="D3602" t="str">
        <f>HYPERLINK("https://streetviewpixels-pa.googleapis.com/v1/thumbnail?panoid=iYcwQsj93jKZYDz7dQjgcg&amp;cb_client=search.gws-prod.gps&amp;w=408&amp;h=240&amp;yaw=192.97646&amp;pitch=0&amp;thumbfov=100", "link")</f>
        <v>link</v>
      </c>
    </row>
    <row r="3603" spans="1:4" x14ac:dyDescent="0.45">
      <c r="A3603" t="s">
        <v>3605</v>
      </c>
      <c r="B3603">
        <v>37.543078999999899</v>
      </c>
      <c r="C3603">
        <v>-77.441125</v>
      </c>
      <c r="D3603" t="str">
        <f>HYPERLINK("https://streetviewpixels-pa.googleapis.com/v1/thumbnail?panoid=DrsN-s1nUq-kqg3qqA7UcA&amp;cb_client=search.gws-prod.gps&amp;w=408&amp;h=240&amp;yaw=201.0422&amp;pitch=0&amp;thumbfov=100", "link")</f>
        <v>link</v>
      </c>
    </row>
    <row r="3604" spans="1:4" x14ac:dyDescent="0.45">
      <c r="A3604" t="s">
        <v>3606</v>
      </c>
      <c r="B3604">
        <v>37.543098800000003</v>
      </c>
      <c r="C3604">
        <v>-77.441118099999997</v>
      </c>
      <c r="D3604" t="str">
        <f>HYPERLINK("https://streetviewpixels-pa.googleapis.com/v1/thumbnail?panoid=DrsN-s1nUq-kqg3qqA7UcA&amp;cb_client=search.gws-prod.gps&amp;w=408&amp;h=240&amp;yaw=201.0422&amp;pitch=0&amp;thumbfov=100", "link")</f>
        <v>link</v>
      </c>
    </row>
    <row r="3605" spans="1:4" x14ac:dyDescent="0.45">
      <c r="A3605" t="s">
        <v>3607</v>
      </c>
      <c r="B3605">
        <v>37.5431004</v>
      </c>
      <c r="C3605">
        <v>-77.441133699999995</v>
      </c>
      <c r="D3605" t="str">
        <f>HYPERLINK("https://streetviewpixels-pa.googleapis.com/v1/thumbnail?panoid=DrsN-s1nUq-kqg3qqA7UcA&amp;cb_client=search.gws-prod.gps&amp;w=408&amp;h=240&amp;yaw=201.0422&amp;pitch=0&amp;thumbfov=100", "link")</f>
        <v>link</v>
      </c>
    </row>
    <row r="3606" spans="1:4" x14ac:dyDescent="0.45">
      <c r="A3606" t="s">
        <v>3608</v>
      </c>
      <c r="B3606">
        <v>37.541810499999997</v>
      </c>
      <c r="C3606">
        <v>-77.439520999999999</v>
      </c>
      <c r="D3606" t="s">
        <v>5</v>
      </c>
    </row>
    <row r="3607" spans="1:4" x14ac:dyDescent="0.45">
      <c r="A3607" t="s">
        <v>3609</v>
      </c>
      <c r="B3607">
        <v>37.541806099999903</v>
      </c>
      <c r="C3607">
        <v>-77.439524300000002</v>
      </c>
      <c r="D3607" t="s">
        <v>5</v>
      </c>
    </row>
    <row r="3608" spans="1:4" x14ac:dyDescent="0.45">
      <c r="A3608" t="s">
        <v>3610</v>
      </c>
      <c r="B3608">
        <v>37.541538799999998</v>
      </c>
      <c r="C3608">
        <v>-77.440818800000002</v>
      </c>
      <c r="D3608" t="str">
        <f>HYPERLINK("https://streetviewpixels-pa.googleapis.com/v1/thumbnail?panoid=koRThjBrlJs7LA5NTxIz1Q&amp;cb_client=search.gws-prod.gps&amp;w=408&amp;h=240&amp;yaw=279.0022&amp;pitch=0&amp;thumbfov=100", "link")</f>
        <v>link</v>
      </c>
    </row>
    <row r="3609" spans="1:4" x14ac:dyDescent="0.45">
      <c r="A3609" t="s">
        <v>3611</v>
      </c>
      <c r="B3609">
        <v>37.5437642999999</v>
      </c>
      <c r="C3609">
        <v>-77.440711899999997</v>
      </c>
      <c r="D3609" t="str">
        <f>HYPERLINK("https://streetviewpixels-pa.googleapis.com/v1/thumbnail?panoid=DrsN-s1nUq-kqg3qqA7UcA&amp;cb_client=search.gws-prod.gps&amp;w=408&amp;h=240&amp;yaw=47.665215&amp;pitch=0&amp;thumbfov=100", "link")</f>
        <v>link</v>
      </c>
    </row>
    <row r="3610" spans="1:4" x14ac:dyDescent="0.45">
      <c r="A3610" t="s">
        <v>3612</v>
      </c>
      <c r="B3610">
        <v>37.542907800000002</v>
      </c>
      <c r="C3610">
        <v>-77.438231399999907</v>
      </c>
      <c r="D3610" t="s">
        <v>5</v>
      </c>
    </row>
    <row r="3611" spans="1:4" x14ac:dyDescent="0.45">
      <c r="A3611" t="s">
        <v>3613</v>
      </c>
      <c r="B3611">
        <v>37.542892199999997</v>
      </c>
      <c r="C3611">
        <v>-77.438208299999999</v>
      </c>
      <c r="D3611" t="s">
        <v>5</v>
      </c>
    </row>
    <row r="3612" spans="1:4" x14ac:dyDescent="0.45">
      <c r="A3612" t="s">
        <v>3614</v>
      </c>
      <c r="B3612">
        <v>37.542868199999901</v>
      </c>
      <c r="C3612">
        <v>-77.438199799999893</v>
      </c>
      <c r="D3612" t="s">
        <v>5</v>
      </c>
    </row>
    <row r="3613" spans="1:4" x14ac:dyDescent="0.45">
      <c r="A3613" t="s">
        <v>3615</v>
      </c>
      <c r="B3613">
        <v>37.5428633</v>
      </c>
      <c r="C3613">
        <v>-77.438194600000003</v>
      </c>
      <c r="D3613" t="s">
        <v>5</v>
      </c>
    </row>
    <row r="3614" spans="1:4" x14ac:dyDescent="0.45">
      <c r="A3614" t="s">
        <v>3616</v>
      </c>
      <c r="B3614">
        <v>37.541380799999999</v>
      </c>
      <c r="C3614">
        <v>-77.441964999999996</v>
      </c>
      <c r="D3614" t="str">
        <f>HYPERLINK("https://streetviewpixels-pa.googleapis.com/v1/thumbnail?panoid=o_CcZrfJ6y5pJQy2CxC8Lg&amp;cb_client=search.gws-prod.gps&amp;w=408&amp;h=240&amp;yaw=322.97842&amp;pitch=0&amp;thumbfov=100", "link")</f>
        <v>link</v>
      </c>
    </row>
    <row r="3615" spans="1:4" x14ac:dyDescent="0.45">
      <c r="A3615" t="s">
        <v>3617</v>
      </c>
      <c r="B3615">
        <v>37.541044800000002</v>
      </c>
      <c r="C3615">
        <v>-77.441734299999993</v>
      </c>
      <c r="D3615" t="str">
        <f>HYPERLINK("https://streetviewpixels-pa.googleapis.com/v1/thumbnail?panoid=aBSHf1tdBiHP07V_A7KVvA&amp;cb_client=search.gws-prod.gps&amp;w=408&amp;h=240&amp;yaw=107.110825&amp;pitch=0&amp;thumbfov=100", "link")</f>
        <v>link</v>
      </c>
    </row>
    <row r="3616" spans="1:4" x14ac:dyDescent="0.45">
      <c r="A3616" t="s">
        <v>3618</v>
      </c>
      <c r="B3616">
        <v>37.541436099999999</v>
      </c>
      <c r="C3616">
        <v>-77.4422493</v>
      </c>
      <c r="D3616" t="str">
        <f>HYPERLINK("https://streetviewpixels-pa.googleapis.com/v1/thumbnail?panoid=zP2wjpOjsCaBM2HgC2ud6Q&amp;cb_client=search.gws-prod.gps&amp;w=408&amp;h=240&amp;yaw=204.88887&amp;pitch=0&amp;thumbfov=100", "link")</f>
        <v>link</v>
      </c>
    </row>
    <row r="3617" spans="1:4" x14ac:dyDescent="0.45">
      <c r="A3617" t="s">
        <v>3619</v>
      </c>
      <c r="B3617">
        <v>37.5406403</v>
      </c>
      <c r="C3617">
        <v>-77.441474799999995</v>
      </c>
      <c r="D3617" t="str">
        <f>HYPERLINK("https://streetviewpixels-pa.googleapis.com/v1/thumbnail?panoid=VDL21UGdnl3CZ-eahfCdYQ&amp;cb_client=search.gws-prod.gps&amp;w=408&amp;h=240&amp;yaw=128.22946&amp;pitch=0&amp;thumbfov=100", "link")</f>
        <v>link</v>
      </c>
    </row>
    <row r="3618" spans="1:4" x14ac:dyDescent="0.45">
      <c r="A3618" t="s">
        <v>3620</v>
      </c>
      <c r="B3618">
        <v>37.541041900000003</v>
      </c>
      <c r="C3618">
        <v>-77.442262200000002</v>
      </c>
      <c r="D3618" t="str">
        <f>HYPERLINK("https://streetviewpixels-pa.googleapis.com/v1/thumbnail?panoid=VDL21UGdnl3CZ-eahfCdYQ&amp;cb_client=search.gws-prod.gps&amp;w=408&amp;h=240&amp;yaw=293.72562&amp;pitch=0&amp;thumbfov=100", "link")</f>
        <v>link</v>
      </c>
    </row>
    <row r="3619" spans="1:4" x14ac:dyDescent="0.45">
      <c r="A3619" t="s">
        <v>3621</v>
      </c>
      <c r="B3619">
        <v>37.540579200000003</v>
      </c>
      <c r="C3619">
        <v>-77.438707600000001</v>
      </c>
      <c r="D3619" t="str">
        <f>HYPERLINK("https://streetviewpixels-pa.googleapis.com/v1/thumbnail?panoid=sD3HGfq55K6KDt_VVOsWeA&amp;cb_client=search.gws-prod.gps&amp;w=408&amp;h=240&amp;yaw=223.09618&amp;pitch=0&amp;thumbfov=100", "link")</f>
        <v>link</v>
      </c>
    </row>
    <row r="3620" spans="1:4" x14ac:dyDescent="0.45">
      <c r="A3620" t="s">
        <v>3622</v>
      </c>
      <c r="B3620">
        <v>37.544394799999999</v>
      </c>
      <c r="C3620">
        <v>-77.438269300000002</v>
      </c>
      <c r="D3620" t="str">
        <f>HYPERLINK("https://streetviewpixels-pa.googleapis.com/v1/thumbnail?panoid=gQqUWAb4sgko0Cs_FngZRg&amp;cb_client=search.gws-prod.gps&amp;w=408&amp;h=240&amp;yaw=119.395805&amp;pitch=0&amp;thumbfov=100", "link")</f>
        <v>link</v>
      </c>
    </row>
    <row r="3621" spans="1:4" x14ac:dyDescent="0.45">
      <c r="A3621" t="s">
        <v>3623</v>
      </c>
      <c r="B3621">
        <v>37.336546800000001</v>
      </c>
      <c r="C3621">
        <v>-121.88830950000001</v>
      </c>
      <c r="D3621" t="str">
        <f>HYPERLINK("https://streetviewpixels-pa.googleapis.com/v1/thumbnail?panoid=-ZoHTRTC8AR0Un0QjfFjrQ&amp;cb_client=search.gws-prod.gps&amp;w=408&amp;h=240&amp;yaw=224.6845&amp;pitch=0&amp;thumbfov=100", "link")</f>
        <v>link</v>
      </c>
    </row>
    <row r="3622" spans="1:4" x14ac:dyDescent="0.45">
      <c r="A3622" t="s">
        <v>3624</v>
      </c>
      <c r="B3622">
        <v>37.333737599999999</v>
      </c>
      <c r="C3622">
        <v>-121.88598709999999</v>
      </c>
      <c r="D3622" t="s">
        <v>5</v>
      </c>
    </row>
    <row r="3623" spans="1:4" x14ac:dyDescent="0.45">
      <c r="A3623" t="s">
        <v>3625</v>
      </c>
      <c r="B3623">
        <v>37.333548</v>
      </c>
      <c r="C3623">
        <v>-121.8937794</v>
      </c>
      <c r="D3623" t="str">
        <f>HYPERLINK("https://streetviewpixels-pa.googleapis.com/v1/thumbnail?panoid=QyhMCnCiPwLWmwXsAI2efA&amp;cb_client=search.gws-prod.gps&amp;w=408&amp;h=240&amp;yaw=347.63684&amp;pitch=0&amp;thumbfov=100", "link")</f>
        <v>link</v>
      </c>
    </row>
    <row r="3624" spans="1:4" x14ac:dyDescent="0.45">
      <c r="A3624" t="s">
        <v>3626</v>
      </c>
      <c r="B3624">
        <v>37.333576600000001</v>
      </c>
      <c r="C3624">
        <v>-121.8940015</v>
      </c>
      <c r="D3624" t="str">
        <f>HYPERLINK("https://streetviewpixels-pa.googleapis.com/v1/thumbnail?panoid=QyhMCnCiPwLWmwXsAI2efA&amp;cb_client=search.gws-prod.gps&amp;w=408&amp;h=240&amp;yaw=347.63684&amp;pitch=0&amp;thumbfov=100", "link")</f>
        <v>link</v>
      </c>
    </row>
    <row r="3625" spans="1:4" x14ac:dyDescent="0.45">
      <c r="A3625" t="s">
        <v>3627</v>
      </c>
      <c r="B3625">
        <v>37.335857699999998</v>
      </c>
      <c r="C3625">
        <v>-121.8933194</v>
      </c>
      <c r="D3625" t="str">
        <f>HYPERLINK("https://streetviewpixels-pa.googleapis.com/v1/thumbnail?panoid=O1C7FkZKQKrZxGntDrT4WA&amp;cb_client=search.gws-prod.gps&amp;w=408&amp;h=240&amp;yaw=74.62779&amp;pitch=0&amp;thumbfov=100", "link")</f>
        <v>link</v>
      </c>
    </row>
    <row r="3626" spans="1:4" x14ac:dyDescent="0.45">
      <c r="A3626" t="s">
        <v>3628</v>
      </c>
      <c r="B3626">
        <v>37.332584099999998</v>
      </c>
      <c r="C3626">
        <v>-121.8857548</v>
      </c>
      <c r="D3626" t="str">
        <f>HYPERLINK("https://lh5.googleusercontent.com/p/AF1QipM0JxlQ0gn8VUPaMOE4n5lbWzfmVT0f_MnM0VEZ=w408-h391-k-no", "link")</f>
        <v>link</v>
      </c>
    </row>
    <row r="3627" spans="1:4" x14ac:dyDescent="0.45">
      <c r="A3627" t="s">
        <v>3629</v>
      </c>
      <c r="B3627">
        <v>37.336682799999998</v>
      </c>
      <c r="C3627">
        <v>-121.8922381</v>
      </c>
      <c r="D3627" t="s">
        <v>5</v>
      </c>
    </row>
    <row r="3628" spans="1:4" x14ac:dyDescent="0.45">
      <c r="A3628" t="s">
        <v>3630</v>
      </c>
      <c r="B3628">
        <v>37.332560000000001</v>
      </c>
      <c r="C3628">
        <v>-121.88573599999999</v>
      </c>
      <c r="D3628" t="str">
        <f>HYPERLINK("https://lh5.googleusercontent.com/p/AF1QipOZb8pvWLLwxBPXg5cX9bKgyC9jsDNc4B0nePmE=w426-h240-k-no", "link")</f>
        <v>link</v>
      </c>
    </row>
    <row r="3629" spans="1:4" x14ac:dyDescent="0.45">
      <c r="A3629" t="s">
        <v>3631</v>
      </c>
      <c r="B3629">
        <v>37.336196000000001</v>
      </c>
      <c r="C3629">
        <v>-121.8865417</v>
      </c>
      <c r="D3629" t="str">
        <f>HYPERLINK("https://streetviewpixels-pa.googleapis.com/v1/thumbnail?panoid=MG--Q9nwWr54I8rXjzSczQ&amp;cb_client=search.gws-prod.gps&amp;w=408&amp;h=240&amp;yaw=254.17418&amp;pitch=0&amp;thumbfov=100", "link")</f>
        <v>link</v>
      </c>
    </row>
    <row r="3630" spans="1:4" x14ac:dyDescent="0.45">
      <c r="A3630" t="s">
        <v>3632</v>
      </c>
      <c r="B3630">
        <v>37.336022799999903</v>
      </c>
      <c r="C3630">
        <v>-121.8934309</v>
      </c>
      <c r="D3630" t="str">
        <f>HYPERLINK("https://streetviewpixels-pa.googleapis.com/v1/thumbnail?panoid=lQPoEzcUOStqSV3JyIW2XQ&amp;cb_client=search.gws-prod.gps&amp;w=408&amp;h=240&amp;yaw=35.191082&amp;pitch=0&amp;thumbfov=100", "link")</f>
        <v>link</v>
      </c>
    </row>
    <row r="3631" spans="1:4" x14ac:dyDescent="0.45">
      <c r="A3631" t="s">
        <v>3633</v>
      </c>
      <c r="B3631">
        <v>37.330301599999899</v>
      </c>
      <c r="C3631">
        <v>-121.88838149999999</v>
      </c>
      <c r="D3631" t="str">
        <f>HYPERLINK("https://streetviewpixels-pa.googleapis.com/v1/thumbnail?panoid=oqXLCTrsZFLDYZ-5IeVIkA&amp;cb_client=search.gws-prod.gps&amp;w=408&amp;h=240&amp;yaw=132.37878&amp;pitch=0&amp;thumbfov=100", "link")</f>
        <v>link</v>
      </c>
    </row>
    <row r="3632" spans="1:4" x14ac:dyDescent="0.45">
      <c r="A3632" t="s">
        <v>3634</v>
      </c>
      <c r="B3632">
        <v>37.336672800000002</v>
      </c>
      <c r="C3632">
        <v>-121.8926775</v>
      </c>
      <c r="D3632" t="str">
        <f>HYPERLINK("https://streetviewpixels-pa.googleapis.com/v1/thumbnail?panoid=27mHBoYBubNlALJPuYA4qg&amp;cb_client=search.gws-prod.gps&amp;w=408&amp;h=240&amp;yaw=46.97995&amp;pitch=0&amp;thumbfov=100", "link")</f>
        <v>link</v>
      </c>
    </row>
    <row r="3633" spans="1:4" x14ac:dyDescent="0.45">
      <c r="A3633" t="s">
        <v>3635</v>
      </c>
      <c r="B3633">
        <v>37.336023599999997</v>
      </c>
      <c r="C3633">
        <v>-121.8860224</v>
      </c>
      <c r="D3633" t="str">
        <f>HYPERLINK("https://lh5.googleusercontent.com/p/AF1QipNpDbxoSThBA0T7MhAlmggrc59ZKpFYezXHNRR2=w408-h305-k-no", "link")</f>
        <v>link</v>
      </c>
    </row>
    <row r="3634" spans="1:4" x14ac:dyDescent="0.45">
      <c r="A3634" t="s">
        <v>3636</v>
      </c>
      <c r="B3634">
        <v>37.336214400000003</v>
      </c>
      <c r="C3634">
        <v>-121.8936173</v>
      </c>
      <c r="D3634" t="str">
        <f>HYPERLINK("https://streetviewpixels-pa.googleapis.com/v1/thumbnail?panoid=lQPoEzcUOStqSV3JyIW2XQ&amp;cb_client=search.gws-prod.gps&amp;w=408&amp;h=240&amp;yaw=101.687035&amp;pitch=0&amp;thumbfov=100", "link")</f>
        <v>link</v>
      </c>
    </row>
    <row r="3635" spans="1:4" x14ac:dyDescent="0.45">
      <c r="A3635" t="s">
        <v>3637</v>
      </c>
      <c r="B3635">
        <v>37.333162199999997</v>
      </c>
      <c r="C3635">
        <v>-121.8850348</v>
      </c>
      <c r="D3635" t="str">
        <f>HYPERLINK("https://streetviewpixels-pa.googleapis.com/v1/thumbnail?panoid=2PzQyL6wy6F_D9ML73G7uw&amp;cb_client=search.gws-prod.gps&amp;w=408&amp;h=240&amp;yaw=332.53162&amp;pitch=0&amp;thumbfov=100", "link")</f>
        <v>link</v>
      </c>
    </row>
    <row r="3636" spans="1:4" x14ac:dyDescent="0.45">
      <c r="A3636" t="s">
        <v>3638</v>
      </c>
      <c r="B3636">
        <v>37.336479199999999</v>
      </c>
      <c r="C3636">
        <v>-121.89336110000001</v>
      </c>
      <c r="D3636" t="str">
        <f>HYPERLINK("https://streetviewpixels-pa.googleapis.com/v1/thumbnail?panoid=lQPoEzcUOStqSV3JyIW2XQ&amp;cb_client=search.gws-prod.gps&amp;w=408&amp;h=240&amp;yaw=35.191082&amp;pitch=0&amp;thumbfov=100", "link")</f>
        <v>link</v>
      </c>
    </row>
    <row r="3637" spans="1:4" x14ac:dyDescent="0.45">
      <c r="A3637" t="s">
        <v>3639</v>
      </c>
      <c r="B3637">
        <v>37.336423199999999</v>
      </c>
      <c r="C3637">
        <v>-121.88625589999999</v>
      </c>
      <c r="D3637" t="str">
        <f>HYPERLINK("https://streetviewpixels-pa.googleapis.com/v1/thumbnail?panoid=bFc_2RUgur5Le3qmrvBGzw&amp;cb_client=search.gws-prod.gps&amp;w=408&amp;h=240&amp;yaw=40.585213&amp;pitch=0&amp;thumbfov=100", "link")</f>
        <v>link</v>
      </c>
    </row>
    <row r="3638" spans="1:4" x14ac:dyDescent="0.45">
      <c r="A3638" t="s">
        <v>3640</v>
      </c>
      <c r="B3638">
        <v>37.333748100000001</v>
      </c>
      <c r="C3638">
        <v>-121.889867</v>
      </c>
      <c r="D3638" t="str">
        <f>HYPERLINK("https://streetviewpixels-pa.googleapis.com/v1/thumbnail?panoid=T3dNVkT1rEgTBAnZvcdMKQ&amp;cb_client=search.gws-prod.gps&amp;w=408&amp;h=240&amp;yaw=17.474434&amp;pitch=0&amp;thumbfov=100", "link")</f>
        <v>link</v>
      </c>
    </row>
    <row r="3639" spans="1:4" x14ac:dyDescent="0.45">
      <c r="A3639" t="s">
        <v>3641</v>
      </c>
      <c r="B3639">
        <v>37.334015099999903</v>
      </c>
      <c r="C3639">
        <v>-121.8895122</v>
      </c>
      <c r="D3639" t="str">
        <f>HYPERLINK("https://streetviewpixels-pa.googleapis.com/v1/thumbnail?panoid=ctQm1PQZzMJmJNvBnhPIPQ&amp;cb_client=search.gws-prod.gps&amp;w=408&amp;h=240&amp;yaw=156.66168&amp;pitch=0&amp;thumbfov=100", "link")</f>
        <v>link</v>
      </c>
    </row>
    <row r="3640" spans="1:4" x14ac:dyDescent="0.45">
      <c r="A3640" t="s">
        <v>3642</v>
      </c>
      <c r="B3640">
        <v>37.332897099999897</v>
      </c>
      <c r="C3640">
        <v>-121.88927990000001</v>
      </c>
      <c r="D3640" t="str">
        <f>HYPERLINK("https://lh5.googleusercontent.com/p/AF1QipNYP4RQtFzcIL_Rlw9qvks2iPd0NRGT3JmIZrXn=w408-h544-k-no", "link")</f>
        <v>link</v>
      </c>
    </row>
    <row r="3641" spans="1:4" x14ac:dyDescent="0.45">
      <c r="A3641" t="s">
        <v>3643</v>
      </c>
      <c r="B3641">
        <v>37.334672499999897</v>
      </c>
      <c r="C3641">
        <v>-121.88926739999999</v>
      </c>
      <c r="D3641" t="str">
        <f>HYPERLINK("https://streetviewpixels-pa.googleapis.com/v1/thumbnail?panoid=FzZULnSF-1sowOlXnGvJfA&amp;cb_client=search.gws-prod.gps&amp;w=408&amp;h=240&amp;yaw=35.740944&amp;pitch=0&amp;thumbfov=100", "link")</f>
        <v>link</v>
      </c>
    </row>
    <row r="3642" spans="1:4" x14ac:dyDescent="0.45">
      <c r="A3642" t="s">
        <v>3644</v>
      </c>
      <c r="B3642">
        <v>37.3333315</v>
      </c>
      <c r="C3642">
        <v>-121.88866760000001</v>
      </c>
      <c r="D3642" t="str">
        <f>HYPERLINK("https://streetviewpixels-pa.googleapis.com/v1/thumbnail?panoid=SXAX2xq3K8gLB18bkT-oOg&amp;cb_client=search.gws-prod.gps&amp;w=408&amp;h=240&amp;yaw=248.93442&amp;pitch=0&amp;thumbfov=100", "link")</f>
        <v>link</v>
      </c>
    </row>
    <row r="3643" spans="1:4" x14ac:dyDescent="0.45">
      <c r="A3643" t="s">
        <v>3645</v>
      </c>
      <c r="B3643">
        <v>37.332609699999999</v>
      </c>
      <c r="C3643">
        <v>-121.88991590000001</v>
      </c>
      <c r="D3643" t="s">
        <v>5</v>
      </c>
    </row>
    <row r="3644" spans="1:4" x14ac:dyDescent="0.45">
      <c r="A3644" t="s">
        <v>3646</v>
      </c>
      <c r="B3644">
        <v>37.333774599999998</v>
      </c>
      <c r="C3644">
        <v>-121.89139179999999</v>
      </c>
      <c r="D3644" t="str">
        <f>HYPERLINK("https://lh5.googleusercontent.com/p/AF1QipPYkGBiIKXth6QbwUPkxXW1knJ_UMFKNwzoI89K=w408-h271-k-no", "link")</f>
        <v>link</v>
      </c>
    </row>
    <row r="3645" spans="1:4" x14ac:dyDescent="0.45">
      <c r="A3645" t="s">
        <v>3647</v>
      </c>
      <c r="B3645">
        <v>37.334279899999999</v>
      </c>
      <c r="C3645">
        <v>-121.8884566</v>
      </c>
      <c r="D3645" t="str">
        <f>HYPERLINK("https://lh5.googleusercontent.com/p/AF1QipMKqlqQBcfvhBK3HI3uI6QM9cEXX3P_xHUWh_wl=w408-h544-k-no", "link")</f>
        <v>link</v>
      </c>
    </row>
    <row r="3646" spans="1:4" x14ac:dyDescent="0.45">
      <c r="A3646" t="s">
        <v>3648</v>
      </c>
      <c r="B3646">
        <v>37.333596499999999</v>
      </c>
      <c r="C3646">
        <v>-121.8876657</v>
      </c>
      <c r="D3646" t="str">
        <f>HYPERLINK("https://streetviewpixels-pa.googleapis.com/v1/thumbnail?panoid=L0jqKWzEpYnAkCxNE6QX7w&amp;cb_client=search.gws-prod.gps&amp;w=408&amp;h=240&amp;yaw=247.48012&amp;pitch=0&amp;thumbfov=100", "link")</f>
        <v>link</v>
      </c>
    </row>
    <row r="3647" spans="1:4" x14ac:dyDescent="0.45">
      <c r="A3647" t="s">
        <v>3649</v>
      </c>
      <c r="B3647">
        <v>37.335571999999999</v>
      </c>
      <c r="C3647">
        <v>-121.889129</v>
      </c>
      <c r="D3647" t="str">
        <f>HYPERLINK("https://lh5.googleusercontent.com/p/AF1QipNgZIGisBSHL3zim5ZJZeQWyd0bjxGBl3bK39w9=w408-h306-k-no", "link")</f>
        <v>link</v>
      </c>
    </row>
    <row r="3648" spans="1:4" x14ac:dyDescent="0.45">
      <c r="A3648" t="s">
        <v>3650</v>
      </c>
      <c r="B3648">
        <v>37.333703900000003</v>
      </c>
      <c r="C3648">
        <v>-121.8922828</v>
      </c>
      <c r="D3648" t="str">
        <f>HYPERLINK("https://streetviewpixels-pa.googleapis.com/v1/thumbnail?panoid=COFwgOJRj8AuD7kU3nQ2Og&amp;cb_client=search.gws-prod.gps&amp;w=408&amp;h=240&amp;yaw=58.08359&amp;pitch=0&amp;thumbfov=100", "link")</f>
        <v>link</v>
      </c>
    </row>
    <row r="3649" spans="1:4" x14ac:dyDescent="0.45">
      <c r="A3649" t="s">
        <v>3651</v>
      </c>
      <c r="B3649">
        <v>37.332323799999998</v>
      </c>
      <c r="C3649">
        <v>-121.887878</v>
      </c>
      <c r="D3649" t="str">
        <f>HYPERLINK("https://streetviewpixels-pa.googleapis.com/v1/thumbnail?panoid=kjKDjRlnN5cd-K7cypYTsg&amp;cb_client=search.gws-prod.gps&amp;w=408&amp;h=240&amp;yaw=259.167&amp;pitch=0&amp;thumbfov=100", "link")</f>
        <v>link</v>
      </c>
    </row>
    <row r="3650" spans="1:4" x14ac:dyDescent="0.45">
      <c r="A3650" t="s">
        <v>3652</v>
      </c>
      <c r="B3650">
        <v>37.3322290999999</v>
      </c>
      <c r="C3650">
        <v>-121.88780060000001</v>
      </c>
      <c r="D3650" t="str">
        <f>HYPERLINK("https://streetviewpixels-pa.googleapis.com/v1/thumbnail?panoid=kjKDjRlnN5cd-K7cypYTsg&amp;cb_client=search.gws-prod.gps&amp;w=408&amp;h=240&amp;yaw=259.167&amp;pitch=0&amp;thumbfov=100", "link")</f>
        <v>link</v>
      </c>
    </row>
    <row r="3651" spans="1:4" x14ac:dyDescent="0.45">
      <c r="A3651" t="s">
        <v>3653</v>
      </c>
      <c r="B3651">
        <v>37.334208099999998</v>
      </c>
      <c r="C3651">
        <v>-121.8926761</v>
      </c>
      <c r="D3651" t="str">
        <f>HYPERLINK("https://streetviewpixels-pa.googleapis.com/v1/thumbnail?panoid=j1VNme6QiiEag2Y8Z1L_rA&amp;cb_client=search.gws-prod.gps&amp;w=408&amp;h=240&amp;yaw=310.28287&amp;pitch=0&amp;thumbfov=100", "link")</f>
        <v>link</v>
      </c>
    </row>
    <row r="3652" spans="1:4" x14ac:dyDescent="0.45">
      <c r="A3652" t="s">
        <v>3654</v>
      </c>
      <c r="B3652">
        <v>37.332607699999997</v>
      </c>
      <c r="C3652">
        <v>-121.8872509</v>
      </c>
      <c r="D3652" t="s">
        <v>5</v>
      </c>
    </row>
    <row r="3653" spans="1:4" x14ac:dyDescent="0.45">
      <c r="A3653" t="s">
        <v>3655</v>
      </c>
      <c r="B3653">
        <v>37.334201800000002</v>
      </c>
      <c r="C3653">
        <v>-121.8869376</v>
      </c>
      <c r="D3653" t="s">
        <v>5</v>
      </c>
    </row>
    <row r="3654" spans="1:4" x14ac:dyDescent="0.45">
      <c r="A3654" t="s">
        <v>3656</v>
      </c>
      <c r="B3654">
        <v>37.331552199999997</v>
      </c>
      <c r="C3654">
        <v>-121.8917453</v>
      </c>
      <c r="D3654" t="str">
        <f>HYPERLINK("https://lh5.googleusercontent.com/p/AF1QipNxn_tHDMEqjPMnLXsGDtXsc2p6eoCz1pGm4F3s=w408-h408-k-no", "link")</f>
        <v>link</v>
      </c>
    </row>
    <row r="3655" spans="1:4" x14ac:dyDescent="0.45">
      <c r="A3655" t="s">
        <v>3657</v>
      </c>
      <c r="B3655">
        <v>37.334687099999996</v>
      </c>
      <c r="C3655">
        <v>-121.89301620000001</v>
      </c>
      <c r="D3655" t="str">
        <f>HYPERLINK("https://streetviewpixels-pa.googleapis.com/v1/thumbnail?panoid=JlMFH6KUmfHyRW-9snYRSQ&amp;cb_client=search.gws-prod.gps&amp;w=408&amp;h=240&amp;yaw=261.57852&amp;pitch=0&amp;thumbfov=100", "link")</f>
        <v>link</v>
      </c>
    </row>
    <row r="3656" spans="1:4" x14ac:dyDescent="0.45">
      <c r="A3656" t="s">
        <v>3658</v>
      </c>
      <c r="B3656">
        <v>37.331635899999903</v>
      </c>
      <c r="C3656">
        <v>-121.8877458</v>
      </c>
      <c r="D3656" t="s">
        <v>5</v>
      </c>
    </row>
    <row r="3657" spans="1:4" x14ac:dyDescent="0.45">
      <c r="A3657" t="s">
        <v>3659</v>
      </c>
      <c r="B3657">
        <v>37.331969999999998</v>
      </c>
      <c r="C3657">
        <v>-121.89253669999999</v>
      </c>
      <c r="D3657" t="s">
        <v>5</v>
      </c>
    </row>
    <row r="3658" spans="1:4" x14ac:dyDescent="0.45">
      <c r="A3658" t="s">
        <v>3660</v>
      </c>
      <c r="B3658">
        <v>34.3248794</v>
      </c>
      <c r="C3658">
        <v>-118.4410902</v>
      </c>
      <c r="D3658" t="str">
        <f>HYPERLINK("https://lh5.googleusercontent.com/p/AF1QipP4_OVTjXHVyJX3DZYZFj-xaX56tWrK1UKn1yjD=w408-h298-k-no", "link")</f>
        <v>link</v>
      </c>
    </row>
    <row r="3659" spans="1:4" x14ac:dyDescent="0.45">
      <c r="A3659" t="s">
        <v>3661</v>
      </c>
      <c r="B3659">
        <v>34.123053800000001</v>
      </c>
      <c r="C3659">
        <v>-118.4096053</v>
      </c>
      <c r="D3659" t="str">
        <f>HYPERLINK("https://lh5.googleusercontent.com/p/AF1QipOpGUkxCbahhM18xKGP25jrVs5e6VrVT_raDY04=w408-h306-k-no", "link")</f>
        <v>link</v>
      </c>
    </row>
    <row r="3660" spans="1:4" x14ac:dyDescent="0.45">
      <c r="A3660" t="s">
        <v>3662</v>
      </c>
      <c r="B3660">
        <v>34.145504799999998</v>
      </c>
      <c r="C3660">
        <v>-118.4101946</v>
      </c>
      <c r="D3660" t="s">
        <v>5</v>
      </c>
    </row>
    <row r="3661" spans="1:4" x14ac:dyDescent="0.45">
      <c r="A3661" t="s">
        <v>3663</v>
      </c>
      <c r="B3661">
        <v>34.144916199999997</v>
      </c>
      <c r="C3661">
        <v>-118.4108248</v>
      </c>
      <c r="D3661" t="str">
        <f>HYPERLINK("https://streetviewpixels-pa.googleapis.com/v1/thumbnail?panoid=Mgso9ApbJzUUyAykvBbg4Q&amp;cb_client=search.gws-prod.gps&amp;w=408&amp;h=240&amp;yaw=252.02003&amp;pitch=0&amp;thumbfov=100", "link")</f>
        <v>link</v>
      </c>
    </row>
    <row r="3662" spans="1:4" x14ac:dyDescent="0.45">
      <c r="A3662" t="s">
        <v>3664</v>
      </c>
      <c r="B3662">
        <v>34.121316800000002</v>
      </c>
      <c r="C3662">
        <v>-118.41064350000001</v>
      </c>
      <c r="D3662" t="str">
        <f>HYPERLINK("https://streetviewpixels-pa.googleapis.com/v1/thumbnail?panoid=S6_oXJlftFVu-Wx0mmosKA&amp;cb_client=search.gws-prod.gps&amp;w=408&amp;h=240&amp;yaw=292.3011&amp;pitch=0&amp;thumbfov=100", "link")</f>
        <v>link</v>
      </c>
    </row>
    <row r="3663" spans="1:4" x14ac:dyDescent="0.45">
      <c r="A3663" t="s">
        <v>3665</v>
      </c>
      <c r="B3663">
        <v>34.120854199999997</v>
      </c>
      <c r="C3663">
        <v>-118.4105141</v>
      </c>
      <c r="D3663" t="s">
        <v>5</v>
      </c>
    </row>
    <row r="3664" spans="1:4" x14ac:dyDescent="0.45">
      <c r="A3664" t="s">
        <v>3666</v>
      </c>
      <c r="B3664">
        <v>34.140527800000001</v>
      </c>
      <c r="C3664">
        <v>-118.3689148</v>
      </c>
      <c r="D3664" t="str">
        <f>HYPERLINK("https://streetviewpixels-pa.googleapis.com/v1/thumbnail?panoid=apwzi7Shs-bCrfwijqoWkQ&amp;cb_client=search.gws-prod.gps&amp;w=408&amp;h=240&amp;yaw=151.74905&amp;pitch=0&amp;thumbfov=100", "link")</f>
        <v>link</v>
      </c>
    </row>
    <row r="3665" spans="1:4" x14ac:dyDescent="0.45">
      <c r="A3665" t="s">
        <v>3667</v>
      </c>
      <c r="B3665">
        <v>34.138797699999998</v>
      </c>
      <c r="C3665">
        <v>-118.36622610000001</v>
      </c>
      <c r="D3665" t="s">
        <v>5</v>
      </c>
    </row>
    <row r="3666" spans="1:4" x14ac:dyDescent="0.45">
      <c r="A3666" t="s">
        <v>3668</v>
      </c>
      <c r="B3666">
        <v>34.139262299999999</v>
      </c>
      <c r="C3666">
        <v>-118.3660387</v>
      </c>
      <c r="D3666" t="s">
        <v>5</v>
      </c>
    </row>
    <row r="3667" spans="1:4" x14ac:dyDescent="0.45">
      <c r="A3667" t="s">
        <v>3669</v>
      </c>
      <c r="B3667">
        <v>34.138483200000003</v>
      </c>
      <c r="C3667">
        <v>-118.3652005</v>
      </c>
      <c r="D3667" t="str">
        <f>HYPERLINK("https://lh5.googleusercontent.com/p/AF1QipMe5A1EVez4AJKmrDxcD_-FSLZNmtnhQWAujSng=w408-h306-k-no", "link")</f>
        <v>link</v>
      </c>
    </row>
    <row r="3668" spans="1:4" x14ac:dyDescent="0.45">
      <c r="A3668" t="s">
        <v>3670</v>
      </c>
      <c r="B3668">
        <v>34.136339700000001</v>
      </c>
      <c r="C3668">
        <v>-118.3619515</v>
      </c>
      <c r="D3668" t="str">
        <f>HYPERLINK("https://streetviewpixels-pa.googleapis.com/v1/thumbnail?panoid=IPFl9dF53or-WDYUQU3wiA&amp;cb_client=search.gws-prod.gps&amp;w=408&amp;h=240&amp;yaw=55.27155&amp;pitch=0&amp;thumbfov=100", "link")</f>
        <v>link</v>
      </c>
    </row>
    <row r="3669" spans="1:4" x14ac:dyDescent="0.45">
      <c r="A3669" t="s">
        <v>3671</v>
      </c>
      <c r="B3669">
        <v>34.135080299999998</v>
      </c>
      <c r="C3669">
        <v>-118.3606121</v>
      </c>
      <c r="D3669" t="str">
        <f>HYPERLINK("https://streetviewpixels-pa.googleapis.com/v1/thumbnail?panoid=AVzrlbd8V28b3rSxfEVLHw&amp;cb_client=search.gws-prod.gps&amp;w=408&amp;h=240&amp;yaw=337.25168&amp;pitch=0&amp;thumbfov=100", "link")</f>
        <v>link</v>
      </c>
    </row>
    <row r="3670" spans="1:4" x14ac:dyDescent="0.45">
      <c r="A3670" t="s">
        <v>3672</v>
      </c>
      <c r="B3670">
        <v>34.140972900000001</v>
      </c>
      <c r="C3670">
        <v>-118.3617177</v>
      </c>
      <c r="D3670" t="str">
        <f>HYPERLINK("https://streetviewpixels-pa.googleapis.com/v1/thumbnail?panoid=aIw4FDwREC_A9-LKcAsOUQ&amp;cb_client=search.gws-prod.gps&amp;w=408&amp;h=240&amp;yaw=61.108833&amp;pitch=0&amp;thumbfov=100", "link")</f>
        <v>link</v>
      </c>
    </row>
    <row r="3671" spans="1:4" x14ac:dyDescent="0.45">
      <c r="A3671" t="s">
        <v>3673</v>
      </c>
      <c r="B3671">
        <v>34.137788800000003</v>
      </c>
      <c r="C3671">
        <v>-118.359435</v>
      </c>
      <c r="D3671" t="s">
        <v>5</v>
      </c>
    </row>
    <row r="3672" spans="1:4" x14ac:dyDescent="0.45">
      <c r="A3672" t="s">
        <v>3674</v>
      </c>
      <c r="B3672">
        <v>34.133883500000003</v>
      </c>
      <c r="C3672">
        <v>-118.3586481</v>
      </c>
      <c r="D3672" t="str">
        <f>HYPERLINK("https://streetviewpixels-pa.googleapis.com/v1/thumbnail?panoid=Sl_8I05i4X0O5xHkR_l6EQ&amp;cb_client=search.gws-prod.gps&amp;w=408&amp;h=240&amp;yaw=197.67293&amp;pitch=0&amp;thumbfov=100", "link")</f>
        <v>link</v>
      </c>
    </row>
    <row r="3673" spans="1:4" x14ac:dyDescent="0.45">
      <c r="A3673" t="s">
        <v>3675</v>
      </c>
      <c r="B3673">
        <v>34.1339167</v>
      </c>
      <c r="C3673">
        <v>-118.35844179999999</v>
      </c>
      <c r="D3673" t="str">
        <f>HYPERLINK("https://streetviewpixels-pa.googleapis.com/v1/thumbnail?panoid=Sl_8I05i4X0O5xHkR_l6EQ&amp;cb_client=search.gws-prod.gps&amp;w=408&amp;h=240&amp;yaw=197.67293&amp;pitch=0&amp;thumbfov=100", "link")</f>
        <v>link</v>
      </c>
    </row>
    <row r="3674" spans="1:4" x14ac:dyDescent="0.45">
      <c r="A3674" t="s">
        <v>3676</v>
      </c>
      <c r="B3674">
        <v>34.135586199999999</v>
      </c>
      <c r="C3674">
        <v>-118.3577001</v>
      </c>
      <c r="D3674" t="s">
        <v>5</v>
      </c>
    </row>
    <row r="3675" spans="1:4" x14ac:dyDescent="0.45">
      <c r="A3675" t="s">
        <v>3677</v>
      </c>
      <c r="B3675">
        <v>34.1368996</v>
      </c>
      <c r="C3675">
        <v>-118.3572436</v>
      </c>
      <c r="D3675" t="s">
        <v>5</v>
      </c>
    </row>
    <row r="3676" spans="1:4" x14ac:dyDescent="0.45">
      <c r="A3676" t="s">
        <v>3678</v>
      </c>
      <c r="B3676">
        <v>34.133218999999997</v>
      </c>
      <c r="C3676">
        <v>-118.391856</v>
      </c>
      <c r="D3676" t="str">
        <f>HYPERLINK("https://lh5.googleusercontent.com/p/AF1QipMy1_2m9T4Ix9Iy1LoYYZudHG0RP9OfQOVjEGvR=w428-h240-k-no", "link")</f>
        <v>link</v>
      </c>
    </row>
    <row r="3677" spans="1:4" x14ac:dyDescent="0.45">
      <c r="A3677" t="s">
        <v>3679</v>
      </c>
      <c r="B3677">
        <v>34.133904200000003</v>
      </c>
      <c r="C3677">
        <v>-118.3921201</v>
      </c>
      <c r="D3677" t="s">
        <v>5</v>
      </c>
    </row>
    <row r="3678" spans="1:4" x14ac:dyDescent="0.45">
      <c r="A3678" t="s">
        <v>3680</v>
      </c>
      <c r="B3678">
        <v>34.142005999999903</v>
      </c>
      <c r="C3678">
        <v>-118.394458</v>
      </c>
      <c r="D3678" t="str">
        <f>HYPERLINK("https://streetviewpixels-pa.googleapis.com/v1/thumbnail?panoid=ZB2WE4wyvVRsHFSmo0JoLA&amp;cb_client=search.gws-prod.gps&amp;w=408&amp;h=240&amp;yaw=58.21837&amp;pitch=0&amp;thumbfov=100", "link")</f>
        <v>link</v>
      </c>
    </row>
    <row r="3679" spans="1:4" x14ac:dyDescent="0.45">
      <c r="A3679" t="s">
        <v>3681</v>
      </c>
      <c r="B3679">
        <v>34.143053299999998</v>
      </c>
      <c r="C3679">
        <v>-118.3924396</v>
      </c>
      <c r="D3679" t="s">
        <v>5</v>
      </c>
    </row>
    <row r="3680" spans="1:4" x14ac:dyDescent="0.45">
      <c r="A3680" t="s">
        <v>3682</v>
      </c>
      <c r="B3680">
        <v>34.143245100000001</v>
      </c>
      <c r="C3680">
        <v>-118.39447680000001</v>
      </c>
      <c r="D3680" t="str">
        <f>HYPERLINK("https://lh5.googleusercontent.com/p/AF1QipMYxR7WJdAz55Gh8rRwa5O2ChZdwnCr1qHYtEww=w408-h816-k-no", "link")</f>
        <v>link</v>
      </c>
    </row>
    <row r="3681" spans="1:4" x14ac:dyDescent="0.45">
      <c r="A3681" t="s">
        <v>3683</v>
      </c>
      <c r="B3681">
        <v>34.144178699999998</v>
      </c>
      <c r="C3681">
        <v>-118.3931941</v>
      </c>
      <c r="D3681" t="str">
        <f>HYPERLINK("https://streetviewpixels-pa.googleapis.com/v1/thumbnail?panoid=lU3UDQnCwiBDIMgcIuVG4w&amp;cb_client=search.gws-prod.gps&amp;w=408&amp;h=240&amp;yaw=349.51874&amp;pitch=0&amp;thumbfov=100", "link")</f>
        <v>link</v>
      </c>
    </row>
    <row r="3682" spans="1:4" x14ac:dyDescent="0.45">
      <c r="A3682" t="s">
        <v>3684</v>
      </c>
      <c r="B3682">
        <v>34.1442099</v>
      </c>
      <c r="C3682">
        <v>-118.3932657</v>
      </c>
      <c r="D3682" t="str">
        <f>HYPERLINK("https://streetviewpixels-pa.googleapis.com/v1/thumbnail?panoid=lU3UDQnCwiBDIMgcIuVG4w&amp;cb_client=search.gws-prod.gps&amp;w=408&amp;h=240&amp;yaw=349.51874&amp;pitch=0&amp;thumbfov=100", "link")</f>
        <v>link</v>
      </c>
    </row>
    <row r="3683" spans="1:4" x14ac:dyDescent="0.45">
      <c r="A3683" t="s">
        <v>3685</v>
      </c>
      <c r="B3683">
        <v>34.143556400000001</v>
      </c>
      <c r="C3683">
        <v>-118.3996511</v>
      </c>
      <c r="D3683" t="str">
        <f>HYPERLINK("https://streetviewpixels-pa.googleapis.com/v1/thumbnail?panoid=BMBNyRLNBvAQ3FNUqM5eQg&amp;cb_client=search.gws-prod.gps&amp;w=408&amp;h=240&amp;yaw=352.32327&amp;pitch=0&amp;thumbfov=100", "link")</f>
        <v>link</v>
      </c>
    </row>
    <row r="3684" spans="1:4" x14ac:dyDescent="0.45">
      <c r="A3684" t="s">
        <v>3686</v>
      </c>
      <c r="B3684">
        <v>34.143559499999903</v>
      </c>
      <c r="C3684">
        <v>-118.3996514</v>
      </c>
      <c r="D3684" t="str">
        <f>HYPERLINK("https://streetviewpixels-pa.googleapis.com/v1/thumbnail?panoid=BMBNyRLNBvAQ3FNUqM5eQg&amp;cb_client=search.gws-prod.gps&amp;w=408&amp;h=240&amp;yaw=352.32327&amp;pitch=0&amp;thumbfov=100", "link")</f>
        <v>link</v>
      </c>
    </row>
    <row r="3685" spans="1:4" x14ac:dyDescent="0.45">
      <c r="A3685" t="s">
        <v>3687</v>
      </c>
      <c r="B3685">
        <v>34.143634800000001</v>
      </c>
      <c r="C3685">
        <v>-118.3996582</v>
      </c>
      <c r="D3685" t="str">
        <f>HYPERLINK("https://streetviewpixels-pa.googleapis.com/v1/thumbnail?panoid=BMBNyRLNBvAQ3FNUqM5eQg&amp;cb_client=search.gws-prod.gps&amp;w=408&amp;h=240&amp;yaw=352.32327&amp;pitch=0&amp;thumbfov=100", "link")</f>
        <v>link</v>
      </c>
    </row>
    <row r="3686" spans="1:4" x14ac:dyDescent="0.45">
      <c r="A3686" t="s">
        <v>3688</v>
      </c>
      <c r="B3686">
        <v>34.1220997</v>
      </c>
      <c r="C3686">
        <v>-118.3848624</v>
      </c>
      <c r="D3686" t="s">
        <v>5</v>
      </c>
    </row>
    <row r="3687" spans="1:4" x14ac:dyDescent="0.45">
      <c r="A3687" t="s">
        <v>3689</v>
      </c>
      <c r="B3687">
        <v>34.129203799999999</v>
      </c>
      <c r="C3687">
        <v>-118.40622380000001</v>
      </c>
      <c r="D3687" t="s">
        <v>5</v>
      </c>
    </row>
    <row r="3688" spans="1:4" x14ac:dyDescent="0.45">
      <c r="A3688" t="s">
        <v>3690</v>
      </c>
      <c r="B3688">
        <v>34.144148100000002</v>
      </c>
      <c r="C3688">
        <v>-118.3994833</v>
      </c>
      <c r="D3688" t="str">
        <f>HYPERLINK("https://streetviewpixels-pa.googleapis.com/v1/thumbnail?panoid=kH76weiRvZADUDLCIYHfrg&amp;cb_client=search.gws-prod.gps&amp;w=408&amp;h=240&amp;yaw=58.42726&amp;pitch=0&amp;thumbfov=100", "link")</f>
        <v>link</v>
      </c>
    </row>
    <row r="3689" spans="1:4" x14ac:dyDescent="0.45">
      <c r="A3689" t="s">
        <v>3691</v>
      </c>
      <c r="B3689">
        <v>34.1441321</v>
      </c>
      <c r="C3689">
        <v>-118.3995295</v>
      </c>
      <c r="D3689" t="str">
        <f>HYPERLINK("https://streetviewpixels-pa.googleapis.com/v1/thumbnail?panoid=kH76weiRvZADUDLCIYHfrg&amp;cb_client=search.gws-prod.gps&amp;w=408&amp;h=240&amp;yaw=58.42726&amp;pitch=0&amp;thumbfov=100", "link")</f>
        <v>link</v>
      </c>
    </row>
    <row r="3690" spans="1:4" x14ac:dyDescent="0.45">
      <c r="A3690" t="s">
        <v>3692</v>
      </c>
      <c r="B3690">
        <v>34.129054699999898</v>
      </c>
      <c r="C3690">
        <v>-118.40627449999999</v>
      </c>
      <c r="D3690" t="s">
        <v>5</v>
      </c>
    </row>
    <row r="3691" spans="1:4" x14ac:dyDescent="0.45">
      <c r="A3691" t="s">
        <v>3693</v>
      </c>
      <c r="B3691">
        <v>34.123567000000001</v>
      </c>
      <c r="C3691">
        <v>-118.4090992</v>
      </c>
      <c r="D3691" t="s">
        <v>5</v>
      </c>
    </row>
    <row r="3692" spans="1:4" x14ac:dyDescent="0.45">
      <c r="A3692" t="s">
        <v>3694</v>
      </c>
      <c r="B3692">
        <v>34.137472600000002</v>
      </c>
      <c r="C3692">
        <v>-118.412211</v>
      </c>
      <c r="D3692" t="str">
        <f>HYPERLINK("https://streetviewpixels-pa.googleapis.com/v1/thumbnail?panoid=WNqfXrQDFeYVB2aSd3JTNw&amp;cb_client=search.gws-prod.gps&amp;w=408&amp;h=240&amp;yaw=24.372501&amp;pitch=0&amp;thumbfov=100", "link")</f>
        <v>link</v>
      </c>
    </row>
    <row r="3693" spans="1:4" x14ac:dyDescent="0.45">
      <c r="A3693" t="s">
        <v>3695</v>
      </c>
      <c r="B3693">
        <v>34.123054600000003</v>
      </c>
      <c r="C3693">
        <v>-118.4094889</v>
      </c>
      <c r="D3693" t="s">
        <v>5</v>
      </c>
    </row>
    <row r="3694" spans="1:4" x14ac:dyDescent="0.45">
      <c r="A3694" t="s">
        <v>3696</v>
      </c>
      <c r="B3694">
        <v>34.147508000000002</v>
      </c>
      <c r="C3694">
        <v>-118.42626</v>
      </c>
      <c r="D3694" t="str">
        <f>HYPERLINK("https://streetviewpixels-pa.googleapis.com/v1/thumbnail?panoid=_xFRnWgil4qF9_0-0GARqQ&amp;cb_client=search.gws-prod.gps&amp;w=408&amp;h=240&amp;yaw=13.253985&amp;pitch=0&amp;thumbfov=100", "link")</f>
        <v>link</v>
      </c>
    </row>
    <row r="3695" spans="1:4" x14ac:dyDescent="0.45">
      <c r="A3695" t="s">
        <v>3697</v>
      </c>
      <c r="B3695">
        <v>34.148211000000003</v>
      </c>
      <c r="C3695">
        <v>-118.42839069999999</v>
      </c>
      <c r="D3695" t="str">
        <f>HYPERLINK("https://streetviewpixels-pa.googleapis.com/v1/thumbnail?panoid=FDqBV-2PL4RUOWFu-fj-1g&amp;cb_client=search.gws-prod.gps&amp;w=408&amp;h=240&amp;yaw=16.02965&amp;pitch=0&amp;thumbfov=100", "link")</f>
        <v>link</v>
      </c>
    </row>
    <row r="3696" spans="1:4" x14ac:dyDescent="0.45">
      <c r="A3696" t="s">
        <v>3698</v>
      </c>
      <c r="B3696">
        <v>34.147427899999997</v>
      </c>
      <c r="C3696">
        <v>-118.42352099999999</v>
      </c>
      <c r="D3696" t="s">
        <v>5</v>
      </c>
    </row>
    <row r="3697" spans="1:4" x14ac:dyDescent="0.45">
      <c r="A3697" t="s">
        <v>3699</v>
      </c>
      <c r="B3697">
        <v>34.148215</v>
      </c>
      <c r="C3697">
        <v>-118.42984149999999</v>
      </c>
      <c r="D3697" t="s">
        <v>5</v>
      </c>
    </row>
    <row r="3698" spans="1:4" x14ac:dyDescent="0.45">
      <c r="A3698" t="s">
        <v>3700</v>
      </c>
      <c r="B3698">
        <v>34.159080099999997</v>
      </c>
      <c r="C3698">
        <v>-118.4304176</v>
      </c>
      <c r="D3698" t="s">
        <v>5</v>
      </c>
    </row>
    <row r="3699" spans="1:4" x14ac:dyDescent="0.45">
      <c r="A3699" t="s">
        <v>3701</v>
      </c>
      <c r="B3699">
        <v>34.159205900000003</v>
      </c>
      <c r="C3699">
        <v>-118.4303663</v>
      </c>
      <c r="D3699" t="s">
        <v>5</v>
      </c>
    </row>
    <row r="3700" spans="1:4" x14ac:dyDescent="0.45">
      <c r="A3700" t="s">
        <v>3702</v>
      </c>
      <c r="B3700">
        <v>34.149338100000001</v>
      </c>
      <c r="C3700">
        <v>-118.4415279</v>
      </c>
      <c r="D3700" t="str">
        <f>HYPERLINK("https://streetviewpixels-pa.googleapis.com/v1/thumbnail?panoid=U12zS21nG8wbDzGuK3QVhg&amp;cb_client=search.gws-prod.gps&amp;w=408&amp;h=240&amp;yaw=145.40355&amp;pitch=0&amp;thumbfov=100", "link")</f>
        <v>link</v>
      </c>
    </row>
    <row r="3701" spans="1:4" x14ac:dyDescent="0.45">
      <c r="A3701" t="s">
        <v>3703</v>
      </c>
      <c r="B3701">
        <v>34.1571414</v>
      </c>
      <c r="C3701">
        <v>-118.4373027</v>
      </c>
      <c r="D3701" t="s">
        <v>5</v>
      </c>
    </row>
    <row r="3702" spans="1:4" x14ac:dyDescent="0.45">
      <c r="A3702" t="s">
        <v>3704</v>
      </c>
      <c r="B3702">
        <v>34.157316700000003</v>
      </c>
      <c r="C3702">
        <v>-118.4126539</v>
      </c>
      <c r="D3702" t="str">
        <f>HYPERLINK("https://streetviewpixels-pa.googleapis.com/v1/thumbnail?panoid=iyIPpD78SK8hBCxTd8kv8Q&amp;cb_client=search.gws-prod.gps&amp;w=408&amp;h=240&amp;yaw=191.65956&amp;pitch=0&amp;thumbfov=100", "link")</f>
        <v>link</v>
      </c>
    </row>
    <row r="3703" spans="1:4" x14ac:dyDescent="0.45">
      <c r="A3703" t="s">
        <v>3705</v>
      </c>
      <c r="B3703">
        <v>34.1512174</v>
      </c>
      <c r="C3703">
        <v>-118.4438088</v>
      </c>
      <c r="D3703" t="str">
        <f>HYPERLINK("https://lh5.googleusercontent.com/p/AF1QipPGE9nlNKj1GS4tbUK_ZFLXSKCMEuW-ip2_iKf4=w408-h408-k-no", "link")</f>
        <v>link</v>
      </c>
    </row>
    <row r="3704" spans="1:4" x14ac:dyDescent="0.45">
      <c r="A3704" t="s">
        <v>3706</v>
      </c>
      <c r="B3704">
        <v>34.164334099999998</v>
      </c>
      <c r="C3704">
        <v>-118.427228</v>
      </c>
      <c r="D3704" t="str">
        <f>HYPERLINK("https://streetviewpixels-pa.googleapis.com/v1/thumbnail?panoid=pVQQ4MB34_jfQX6S_wHZOw&amp;cb_client=search.gws-prod.gps&amp;w=408&amp;h=240&amp;yaw=293.00522&amp;pitch=0&amp;thumbfov=100", "link")</f>
        <v>link</v>
      </c>
    </row>
    <row r="3705" spans="1:4" x14ac:dyDescent="0.45">
      <c r="A3705" t="s">
        <v>3707</v>
      </c>
      <c r="B3705">
        <v>34.150799900000003</v>
      </c>
      <c r="C3705">
        <v>-118.4464746</v>
      </c>
      <c r="D3705" t="s">
        <v>5</v>
      </c>
    </row>
    <row r="3706" spans="1:4" x14ac:dyDescent="0.45">
      <c r="A3706" t="s">
        <v>3708</v>
      </c>
      <c r="B3706">
        <v>34.145786200000003</v>
      </c>
      <c r="C3706">
        <v>-118.1133777</v>
      </c>
      <c r="D3706" t="s">
        <v>5</v>
      </c>
    </row>
    <row r="3707" spans="1:4" x14ac:dyDescent="0.45">
      <c r="A3707" t="s">
        <v>3709</v>
      </c>
      <c r="B3707">
        <v>34.145673100000003</v>
      </c>
      <c r="C3707">
        <v>-118.10807149999999</v>
      </c>
      <c r="D3707" t="s">
        <v>5</v>
      </c>
    </row>
    <row r="3708" spans="1:4" x14ac:dyDescent="0.45">
      <c r="A3708" t="s">
        <v>3710</v>
      </c>
      <c r="B3708">
        <v>34.145615200000002</v>
      </c>
      <c r="C3708">
        <v>-118.10395250000001</v>
      </c>
      <c r="D3708" t="s">
        <v>5</v>
      </c>
    </row>
    <row r="3709" spans="1:4" x14ac:dyDescent="0.45">
      <c r="A3709" t="s">
        <v>3711</v>
      </c>
      <c r="B3709">
        <v>34.144308799999997</v>
      </c>
      <c r="C3709">
        <v>-118.1226917</v>
      </c>
      <c r="D3709" t="s">
        <v>5</v>
      </c>
    </row>
    <row r="3710" spans="1:4" x14ac:dyDescent="0.45">
      <c r="A3710" t="s">
        <v>3712</v>
      </c>
      <c r="B3710">
        <v>34.145247099999999</v>
      </c>
      <c r="C3710">
        <v>-118.12083029999999</v>
      </c>
      <c r="D3710" t="s">
        <v>5</v>
      </c>
    </row>
    <row r="3711" spans="1:4" x14ac:dyDescent="0.45">
      <c r="A3711" t="s">
        <v>3713</v>
      </c>
      <c r="B3711">
        <v>34.145403000000002</v>
      </c>
      <c r="C3711">
        <v>-118.120863</v>
      </c>
      <c r="D3711" t="s">
        <v>5</v>
      </c>
    </row>
    <row r="3712" spans="1:4" x14ac:dyDescent="0.45">
      <c r="A3712" t="s">
        <v>3714</v>
      </c>
      <c r="B3712">
        <v>34.145039799999999</v>
      </c>
      <c r="C3712">
        <v>-118.12232590000001</v>
      </c>
      <c r="D3712" t="s">
        <v>5</v>
      </c>
    </row>
    <row r="3713" spans="1:4" x14ac:dyDescent="0.45">
      <c r="A3713" t="s">
        <v>3715</v>
      </c>
      <c r="B3713">
        <v>34.145489599999998</v>
      </c>
      <c r="C3713">
        <v>-118.12315220000001</v>
      </c>
      <c r="D3713" t="s">
        <v>5</v>
      </c>
    </row>
    <row r="3714" spans="1:4" x14ac:dyDescent="0.45">
      <c r="A3714" t="s">
        <v>3716</v>
      </c>
      <c r="B3714">
        <v>34.145471499999999</v>
      </c>
      <c r="C3714">
        <v>-118.1240073</v>
      </c>
      <c r="D3714" t="s">
        <v>5</v>
      </c>
    </row>
    <row r="3715" spans="1:4" x14ac:dyDescent="0.45">
      <c r="A3715" t="s">
        <v>3717</v>
      </c>
      <c r="B3715">
        <v>34.130859800000003</v>
      </c>
      <c r="C3715">
        <v>-118.11181430000001</v>
      </c>
      <c r="D3715" t="str">
        <f>HYPERLINK("https://lh5.googleusercontent.com/p/AF1QipNTjULz92CSERxIeriswGKf_B5ngNG1WYhKNylJ=w408-h306-k-no", "link")</f>
        <v>link</v>
      </c>
    </row>
    <row r="3716" spans="1:4" x14ac:dyDescent="0.45">
      <c r="A3716" t="s">
        <v>3718</v>
      </c>
      <c r="B3716">
        <v>34.131138100000001</v>
      </c>
      <c r="C3716">
        <v>-118.11190209999999</v>
      </c>
      <c r="D3716" t="s">
        <v>5</v>
      </c>
    </row>
    <row r="3717" spans="1:4" x14ac:dyDescent="0.45">
      <c r="A3717" t="s">
        <v>3719</v>
      </c>
      <c r="B3717">
        <v>34.130391099999997</v>
      </c>
      <c r="C3717">
        <v>-118.1124674</v>
      </c>
      <c r="D3717" t="str">
        <f>HYPERLINK("https://lh5.googleusercontent.com/p/AF1QipN5LdVRQ65iX9NNX0acGRPmq_qpVg7e_0l0UpCc=w408-h725-k-no", "link")</f>
        <v>link</v>
      </c>
    </row>
    <row r="3718" spans="1:4" x14ac:dyDescent="0.45">
      <c r="A3718" t="s">
        <v>3720</v>
      </c>
      <c r="B3718">
        <v>34.118566899999998</v>
      </c>
      <c r="C3718">
        <v>-118.11238950000001</v>
      </c>
      <c r="D3718" t="str">
        <f>HYPERLINK("https://streetviewpixels-pa.googleapis.com/v1/thumbnail?panoid=LH-DNL65PMBCbAkUojn1JQ&amp;cb_client=search.gws-prod.gps&amp;w=408&amp;h=240&amp;yaw=243.33876&amp;pitch=0&amp;thumbfov=100", "link")</f>
        <v>link</v>
      </c>
    </row>
    <row r="3719" spans="1:4" x14ac:dyDescent="0.45">
      <c r="A3719" t="s">
        <v>3721</v>
      </c>
      <c r="B3719">
        <v>34.143386499999998</v>
      </c>
      <c r="C3719">
        <v>-118.11637330000001</v>
      </c>
      <c r="D3719" t="s">
        <v>5</v>
      </c>
    </row>
    <row r="3720" spans="1:4" x14ac:dyDescent="0.45">
      <c r="A3720" t="s">
        <v>3722</v>
      </c>
      <c r="B3720">
        <v>34.142461300000001</v>
      </c>
      <c r="C3720">
        <v>-118.1198588</v>
      </c>
      <c r="D3720" t="str">
        <f>HYPERLINK("https://streetviewpixels-pa.googleapis.com/v1/thumbnail?panoid=XjAhBkw0oS3G1xh4Dnqjnw&amp;cb_client=search.gws-prod.gps&amp;w=408&amp;h=240&amp;yaw=358.68192&amp;pitch=0&amp;thumbfov=100", "link")</f>
        <v>link</v>
      </c>
    </row>
    <row r="3721" spans="1:4" x14ac:dyDescent="0.45">
      <c r="A3721" t="s">
        <v>3723</v>
      </c>
      <c r="B3721">
        <v>34.144444999999997</v>
      </c>
      <c r="C3721">
        <v>-118.1160168</v>
      </c>
      <c r="D3721" t="s">
        <v>5</v>
      </c>
    </row>
    <row r="3722" spans="1:4" x14ac:dyDescent="0.45">
      <c r="A3722" t="s">
        <v>3724</v>
      </c>
      <c r="B3722">
        <v>34.145561999999998</v>
      </c>
      <c r="C3722">
        <v>-118.1100673</v>
      </c>
      <c r="D3722" t="str">
        <f>HYPERLINK("https://streetviewpixels-pa.googleapis.com/v1/thumbnail?panoid=C8fkxmp24Hz2BCg5MZXPXQ&amp;cb_client=search.gws-prod.gps&amp;w=408&amp;h=240&amp;yaw=199.10666&amp;pitch=0&amp;thumbfov=100", "link")</f>
        <v>link</v>
      </c>
    </row>
    <row r="3723" spans="1:4" x14ac:dyDescent="0.45">
      <c r="A3723" t="s">
        <v>3725</v>
      </c>
      <c r="B3723">
        <v>34.145701699999996</v>
      </c>
      <c r="C3723">
        <v>-118.1112131</v>
      </c>
      <c r="D3723" t="s">
        <v>5</v>
      </c>
    </row>
    <row r="3724" spans="1:4" x14ac:dyDescent="0.45">
      <c r="A3724" t="s">
        <v>3726</v>
      </c>
      <c r="B3724">
        <v>34.145302700000002</v>
      </c>
      <c r="C3724">
        <v>-118.11610829999999</v>
      </c>
      <c r="D3724" t="s">
        <v>5</v>
      </c>
    </row>
    <row r="3725" spans="1:4" x14ac:dyDescent="0.45">
      <c r="A3725" t="s">
        <v>3727</v>
      </c>
      <c r="B3725">
        <v>34.1457506</v>
      </c>
      <c r="C3725">
        <v>-118.1125005</v>
      </c>
      <c r="D3725" t="s">
        <v>5</v>
      </c>
    </row>
    <row r="3726" spans="1:4" x14ac:dyDescent="0.45">
      <c r="A3726" t="s">
        <v>3728</v>
      </c>
      <c r="B3726">
        <v>34.121282600000001</v>
      </c>
      <c r="C3726">
        <v>-118.1337091</v>
      </c>
      <c r="D3726" t="s">
        <v>5</v>
      </c>
    </row>
    <row r="3727" spans="1:4" x14ac:dyDescent="0.45">
      <c r="A3727" t="s">
        <v>3729</v>
      </c>
      <c r="B3727">
        <v>33.726318999999997</v>
      </c>
      <c r="C3727">
        <v>-118.27907949999999</v>
      </c>
      <c r="D3727" t="s">
        <v>5</v>
      </c>
    </row>
    <row r="3728" spans="1:4" x14ac:dyDescent="0.45">
      <c r="A3728" t="s">
        <v>3730</v>
      </c>
      <c r="B3728">
        <v>33.725398599999998</v>
      </c>
      <c r="C3728">
        <v>-118.2801154</v>
      </c>
      <c r="D3728" t="s">
        <v>5</v>
      </c>
    </row>
    <row r="3729" spans="1:4" x14ac:dyDescent="0.45">
      <c r="A3729" t="s">
        <v>3731</v>
      </c>
      <c r="B3729">
        <v>33.7390872</v>
      </c>
      <c r="C3729">
        <v>-118.2855416</v>
      </c>
      <c r="D3729" t="s">
        <v>5</v>
      </c>
    </row>
    <row r="3730" spans="1:4" x14ac:dyDescent="0.45">
      <c r="A3730" t="s">
        <v>3732</v>
      </c>
      <c r="B3730">
        <v>33.7391942</v>
      </c>
      <c r="C3730">
        <v>-118.28545699999999</v>
      </c>
      <c r="D3730" t="str">
        <f>HYPERLINK("https://streetviewpixels-pa.googleapis.com/v1/thumbnail?panoid=GUsxgMO4vNHeVNJv8uLjow&amp;cb_client=search.gws-prod.gps&amp;w=408&amp;h=240&amp;yaw=111.99808&amp;pitch=0&amp;thumbfov=100", "link")</f>
        <v>link</v>
      </c>
    </row>
    <row r="3731" spans="1:4" x14ac:dyDescent="0.45">
      <c r="A3731" t="s">
        <v>3733</v>
      </c>
      <c r="B3731">
        <v>33.739389299999999</v>
      </c>
      <c r="C3731">
        <v>-118.28660910000001</v>
      </c>
      <c r="D3731" t="str">
        <f>HYPERLINK("https://streetviewpixels-pa.googleapis.com/v1/thumbnail?panoid=eWviX0EF8Ndwe1EqMSlbJw&amp;cb_client=search.gws-prod.gps&amp;w=408&amp;h=240&amp;yaw=320.39252&amp;pitch=0&amp;thumbfov=100", "link")</f>
        <v>link</v>
      </c>
    </row>
    <row r="3732" spans="1:4" x14ac:dyDescent="0.45">
      <c r="A3732" t="s">
        <v>3734</v>
      </c>
      <c r="B3732">
        <v>33.738108500000003</v>
      </c>
      <c r="C3732">
        <v>-118.2866156</v>
      </c>
      <c r="D3732" t="str">
        <f>HYPERLINK("https://streetviewpixels-pa.googleapis.com/v1/thumbnail?panoid=qiK02fCvxvxUqYBS7xlsTA&amp;cb_client=search.gws-prod.gps&amp;w=408&amp;h=240&amp;yaw=319.4689&amp;pitch=0&amp;thumbfov=100", "link")</f>
        <v>link</v>
      </c>
    </row>
    <row r="3733" spans="1:4" x14ac:dyDescent="0.45">
      <c r="A3733" t="s">
        <v>3735</v>
      </c>
      <c r="B3733">
        <v>33.739255200000002</v>
      </c>
      <c r="C3733">
        <v>-118.2877512</v>
      </c>
      <c r="D3733" t="str">
        <f>HYPERLINK("https://streetviewpixels-pa.googleapis.com/v1/thumbnail?panoid=VjxNRxTxKU3BbLpE9yljuw&amp;cb_client=search.gws-prod.gps&amp;w=408&amp;h=240&amp;yaw=91.113686&amp;pitch=0&amp;thumbfov=100", "link")</f>
        <v>link</v>
      </c>
    </row>
    <row r="3734" spans="1:4" x14ac:dyDescent="0.45">
      <c r="A3734" t="s">
        <v>3736</v>
      </c>
      <c r="B3734">
        <v>33.736524199999998</v>
      </c>
      <c r="C3734">
        <v>-118.28712040000001</v>
      </c>
      <c r="D3734" t="s">
        <v>5</v>
      </c>
    </row>
    <row r="3735" spans="1:4" x14ac:dyDescent="0.45">
      <c r="A3735" t="s">
        <v>3737</v>
      </c>
      <c r="B3735">
        <v>33.736509599999998</v>
      </c>
      <c r="C3735">
        <v>-118.2871246</v>
      </c>
      <c r="D3735" t="s">
        <v>5</v>
      </c>
    </row>
    <row r="3736" spans="1:4" x14ac:dyDescent="0.45">
      <c r="A3736" t="s">
        <v>3738</v>
      </c>
      <c r="B3736">
        <v>33.7338618</v>
      </c>
      <c r="C3736">
        <v>-118.2886869</v>
      </c>
      <c r="D3736" t="str">
        <f>HYPERLINK("https://streetviewpixels-pa.googleapis.com/v1/thumbnail?panoid=dC9PnUS41HWFNPOKnXps2g&amp;cb_client=search.gws-prod.gps&amp;w=408&amp;h=240&amp;yaw=196.75229&amp;pitch=0&amp;thumbfov=100", "link")</f>
        <v>link</v>
      </c>
    </row>
    <row r="3737" spans="1:4" x14ac:dyDescent="0.45">
      <c r="A3737" t="s">
        <v>3739</v>
      </c>
      <c r="B3737">
        <v>33.735230199999997</v>
      </c>
      <c r="C3737">
        <v>-118.27920899999999</v>
      </c>
      <c r="D3737" t="str">
        <f>HYPERLINK("https://streetviewpixels-pa.googleapis.com/v1/thumbnail?panoid=PLqmAS-JszEQgwEPw3g3gQ&amp;cb_client=search.gws-prod.gps&amp;w=408&amp;h=240&amp;yaw=288.97433&amp;pitch=0&amp;thumbfov=100", "link")</f>
        <v>link</v>
      </c>
    </row>
    <row r="3738" spans="1:4" x14ac:dyDescent="0.45">
      <c r="A3738" t="s">
        <v>3740</v>
      </c>
      <c r="B3738">
        <v>33.733142899999997</v>
      </c>
      <c r="C3738">
        <v>-118.2782241</v>
      </c>
      <c r="D3738" t="str">
        <f>HYPERLINK("https://streetviewpixels-pa.googleapis.com/v1/thumbnail?panoid=blxp8QaQU8Y9XJ-kVESdJw&amp;cb_client=search.gws-prod.gps&amp;w=408&amp;h=240&amp;yaw=53.28593&amp;pitch=0&amp;thumbfov=100", "link")</f>
        <v>link</v>
      </c>
    </row>
    <row r="3739" spans="1:4" x14ac:dyDescent="0.45">
      <c r="A3739" t="s">
        <v>3741</v>
      </c>
      <c r="B3739">
        <v>33.7312358</v>
      </c>
      <c r="C3739">
        <v>-118.2767174</v>
      </c>
      <c r="D3739" t="s">
        <v>5</v>
      </c>
    </row>
    <row r="3740" spans="1:4" x14ac:dyDescent="0.45">
      <c r="A3740" t="s">
        <v>3742</v>
      </c>
      <c r="B3740">
        <v>33.731211100000003</v>
      </c>
      <c r="C3740">
        <v>-118.2765984</v>
      </c>
      <c r="D3740" t="s">
        <v>5</v>
      </c>
    </row>
    <row r="3741" spans="1:4" x14ac:dyDescent="0.45">
      <c r="A3741" t="s">
        <v>3743</v>
      </c>
      <c r="B3741">
        <v>33.729058100000003</v>
      </c>
      <c r="C3741">
        <v>-118.2761567</v>
      </c>
      <c r="D3741" t="str">
        <f>HYPERLINK("https://lh5.googleusercontent.com/p/AF1QipOHkEGVfcHAr27VBRBRdrF6EAOfV6KrlPe6AID8=w408-h306-k-no", "link")</f>
        <v>link</v>
      </c>
    </row>
    <row r="3742" spans="1:4" x14ac:dyDescent="0.45">
      <c r="A3742" t="s">
        <v>3744</v>
      </c>
      <c r="B3742">
        <v>33.7278837</v>
      </c>
      <c r="C3742">
        <v>-118.2764157</v>
      </c>
      <c r="D3742" t="s">
        <v>5</v>
      </c>
    </row>
    <row r="3743" spans="1:4" x14ac:dyDescent="0.45">
      <c r="A3743" t="s">
        <v>3745</v>
      </c>
      <c r="B3743">
        <v>33.726399800000003</v>
      </c>
      <c r="C3743">
        <v>-118.2791562</v>
      </c>
      <c r="D3743" t="s">
        <v>5</v>
      </c>
    </row>
    <row r="3744" spans="1:4" x14ac:dyDescent="0.45">
      <c r="A3744" t="s">
        <v>3746</v>
      </c>
      <c r="B3744">
        <v>33.732847200000002</v>
      </c>
      <c r="C3744">
        <v>-118.31829569999999</v>
      </c>
      <c r="D3744" t="s">
        <v>5</v>
      </c>
    </row>
    <row r="3745" spans="1:4" x14ac:dyDescent="0.45">
      <c r="A3745" t="s">
        <v>3747</v>
      </c>
      <c r="B3745">
        <v>33.730893199999997</v>
      </c>
      <c r="C3745">
        <v>-118.3188894</v>
      </c>
      <c r="D3745" t="s">
        <v>5</v>
      </c>
    </row>
    <row r="3746" spans="1:4" x14ac:dyDescent="0.45">
      <c r="A3746" t="s">
        <v>3748</v>
      </c>
      <c r="B3746">
        <v>33.706392100000002</v>
      </c>
      <c r="C3746">
        <v>-118.29255019999999</v>
      </c>
      <c r="D3746" t="s">
        <v>5</v>
      </c>
    </row>
    <row r="3747" spans="1:4" x14ac:dyDescent="0.45">
      <c r="A3747" t="s">
        <v>3749</v>
      </c>
      <c r="B3747">
        <v>33.709661199999999</v>
      </c>
      <c r="C3747">
        <v>-118.29566579999999</v>
      </c>
      <c r="D3747" t="s">
        <v>5</v>
      </c>
    </row>
    <row r="3748" spans="1:4" x14ac:dyDescent="0.45">
      <c r="A3748" t="s">
        <v>3750</v>
      </c>
      <c r="B3748">
        <v>33.709639600000003</v>
      </c>
      <c r="C3748">
        <v>-118.29574220000001</v>
      </c>
      <c r="D3748" t="s">
        <v>5</v>
      </c>
    </row>
    <row r="3749" spans="1:4" x14ac:dyDescent="0.45">
      <c r="A3749" t="s">
        <v>3751</v>
      </c>
      <c r="B3749">
        <v>33.710855600000002</v>
      </c>
      <c r="C3749">
        <v>-118.2940138</v>
      </c>
      <c r="D3749" t="str">
        <f>HYPERLINK("https://lh5.googleusercontent.com/p/AF1QipMjPpfmwm9jL7I5w6hUIr7g7VMtsfga7ktFemr9=w408-h544-k-no", "link")</f>
        <v>link</v>
      </c>
    </row>
    <row r="3750" spans="1:4" x14ac:dyDescent="0.45">
      <c r="A3750" t="s">
        <v>3752</v>
      </c>
      <c r="B3750">
        <v>33.710988399999998</v>
      </c>
      <c r="C3750">
        <v>-118.2852846</v>
      </c>
      <c r="D3750" t="s">
        <v>5</v>
      </c>
    </row>
    <row r="3751" spans="1:4" x14ac:dyDescent="0.45">
      <c r="A3751" t="s">
        <v>3753</v>
      </c>
      <c r="B3751">
        <v>33.713701899999997</v>
      </c>
      <c r="C3751">
        <v>-118.2969688</v>
      </c>
      <c r="D3751" t="s">
        <v>5</v>
      </c>
    </row>
    <row r="3752" spans="1:4" x14ac:dyDescent="0.45">
      <c r="A3752" t="s">
        <v>3754</v>
      </c>
      <c r="B3752">
        <v>33.712509799999999</v>
      </c>
      <c r="C3752">
        <v>-118.28463720000001</v>
      </c>
      <c r="D3752" t="s">
        <v>5</v>
      </c>
    </row>
    <row r="3753" spans="1:4" x14ac:dyDescent="0.45">
      <c r="A3753" t="s">
        <v>3755</v>
      </c>
      <c r="B3753">
        <v>33.709012999999999</v>
      </c>
      <c r="C3753">
        <v>-118.279476</v>
      </c>
      <c r="D3753" t="s">
        <v>5</v>
      </c>
    </row>
    <row r="3754" spans="1:4" x14ac:dyDescent="0.45">
      <c r="A3754" t="s">
        <v>3756</v>
      </c>
      <c r="B3754">
        <v>33.717176600000002</v>
      </c>
      <c r="C3754">
        <v>-118.2836324</v>
      </c>
      <c r="D3754" t="s">
        <v>5</v>
      </c>
    </row>
    <row r="3755" spans="1:4" x14ac:dyDescent="0.45">
      <c r="A3755" t="s">
        <v>3757</v>
      </c>
      <c r="B3755">
        <v>33.717700700000002</v>
      </c>
      <c r="C3755">
        <v>-118.2810826</v>
      </c>
      <c r="D3755" t="s">
        <v>5</v>
      </c>
    </row>
    <row r="3756" spans="1:4" x14ac:dyDescent="0.45">
      <c r="A3756" t="s">
        <v>3758</v>
      </c>
      <c r="B3756">
        <v>33.717915099999999</v>
      </c>
      <c r="C3756">
        <v>-118.28098319999999</v>
      </c>
      <c r="D3756" t="s">
        <v>5</v>
      </c>
    </row>
    <row r="3757" spans="1:4" x14ac:dyDescent="0.45">
      <c r="A3757" t="s">
        <v>3759</v>
      </c>
      <c r="B3757">
        <v>33.7160139</v>
      </c>
      <c r="C3757">
        <v>-118.31528179999999</v>
      </c>
      <c r="D3757" t="s">
        <v>5</v>
      </c>
    </row>
    <row r="3758" spans="1:4" x14ac:dyDescent="0.45">
      <c r="A3758" t="s">
        <v>3760</v>
      </c>
      <c r="B3758">
        <v>33.716260900000002</v>
      </c>
      <c r="C3758">
        <v>-118.3178391</v>
      </c>
      <c r="D3758" t="s">
        <v>5</v>
      </c>
    </row>
    <row r="3759" spans="1:4" x14ac:dyDescent="0.45">
      <c r="A3759" t="s">
        <v>3761</v>
      </c>
      <c r="B3759">
        <v>33.716304899999997</v>
      </c>
      <c r="C3759">
        <v>-118.3194374</v>
      </c>
      <c r="D3759" t="s">
        <v>5</v>
      </c>
    </row>
    <row r="3760" spans="1:4" x14ac:dyDescent="0.45">
      <c r="A3760" t="s">
        <v>3762</v>
      </c>
      <c r="B3760">
        <v>34.009236700000002</v>
      </c>
      <c r="C3760">
        <v>-118.4917607</v>
      </c>
      <c r="D3760" t="str">
        <f>HYPERLINK("https://streetviewpixels-pa.googleapis.com/v1/thumbnail?panoid=nNrBcv1XQmx2HooCHT0xuQ&amp;cb_client=search.gws-prod.gps&amp;w=408&amp;h=240&amp;yaw=61.85444&amp;pitch=0&amp;thumbfov=100", "link")</f>
        <v>link</v>
      </c>
    </row>
    <row r="3761" spans="1:4" x14ac:dyDescent="0.45">
      <c r="A3761" t="s">
        <v>3763</v>
      </c>
      <c r="B3761">
        <v>34.012618099999997</v>
      </c>
      <c r="C3761">
        <v>-118.4935962</v>
      </c>
      <c r="D3761" t="str">
        <f>HYPERLINK("https://streetviewpixels-pa.googleapis.com/v1/thumbnail?panoid=9upddspSSDT0prk-bHzsVQ&amp;cb_client=search.gws-prod.gps&amp;w=408&amp;h=240&amp;yaw=334.91937&amp;pitch=0&amp;thumbfov=100", "link")</f>
        <v>link</v>
      </c>
    </row>
    <row r="3762" spans="1:4" x14ac:dyDescent="0.45">
      <c r="A3762" t="s">
        <v>3764</v>
      </c>
      <c r="B3762">
        <v>34.012796600000001</v>
      </c>
      <c r="C3762">
        <v>-118.4938216</v>
      </c>
      <c r="D3762" t="str">
        <f>HYPERLINK("https://streetviewpixels-pa.googleapis.com/v1/thumbnail?panoid=-Sa6ur1Adt1xcxIR6B31VA&amp;cb_client=search.gws-prod.gps&amp;w=408&amp;h=240&amp;yaw=83.126755&amp;pitch=0&amp;thumbfov=100", "link")</f>
        <v>link</v>
      </c>
    </row>
    <row r="3763" spans="1:4" x14ac:dyDescent="0.45">
      <c r="A3763" t="s">
        <v>3765</v>
      </c>
      <c r="B3763">
        <v>34.012773799999898</v>
      </c>
      <c r="C3763">
        <v>-118.49372080000001</v>
      </c>
      <c r="D3763" t="str">
        <f>HYPERLINK("https://streetviewpixels-pa.googleapis.com/v1/thumbnail?panoid=-Sa6ur1Adt1xcxIR6B31VA&amp;cb_client=search.gws-prod.gps&amp;w=408&amp;h=240&amp;yaw=85.9075&amp;pitch=0&amp;thumbfov=100", "link")</f>
        <v>link</v>
      </c>
    </row>
    <row r="3764" spans="1:4" x14ac:dyDescent="0.45">
      <c r="A3764" t="s">
        <v>3766</v>
      </c>
      <c r="B3764">
        <v>34.011299199999897</v>
      </c>
      <c r="C3764">
        <v>-118.4917473</v>
      </c>
      <c r="D3764" t="s">
        <v>5</v>
      </c>
    </row>
    <row r="3765" spans="1:4" x14ac:dyDescent="0.45">
      <c r="A3765" t="s">
        <v>3767</v>
      </c>
      <c r="B3765">
        <v>34.013134099999903</v>
      </c>
      <c r="C3765">
        <v>-118.4956498</v>
      </c>
      <c r="D3765" t="str">
        <f>HYPERLINK("https://lh5.googleusercontent.com/p/AF1QipOILNWoN2QNjCBidsZXf41gt1qFRBBgT4GI-vtm=w408-h272-k-no", "link")</f>
        <v>link</v>
      </c>
    </row>
    <row r="3766" spans="1:4" x14ac:dyDescent="0.45">
      <c r="A3766" t="s">
        <v>3768</v>
      </c>
      <c r="B3766">
        <v>34.013157399999997</v>
      </c>
      <c r="C3766">
        <v>-118.495576</v>
      </c>
      <c r="D3766" t="str">
        <f>HYPERLINK("https://streetviewpixels-pa.googleapis.com/v1/thumbnail?panoid=oHA9c4N9rVBsg7AxOo44KQ&amp;cb_client=search.gws-prod.gps&amp;w=408&amp;h=240&amp;yaw=137.0618&amp;pitch=0&amp;thumbfov=100", "link")</f>
        <v>link</v>
      </c>
    </row>
    <row r="3767" spans="1:4" x14ac:dyDescent="0.45">
      <c r="A3767" t="s">
        <v>3769</v>
      </c>
      <c r="B3767">
        <v>34.013013899999997</v>
      </c>
      <c r="C3767">
        <v>-118.4936754</v>
      </c>
      <c r="D3767" t="str">
        <f>HYPERLINK("https://streetviewpixels-pa.googleapis.com/v1/thumbnail?panoid=txIfvZZywZZMK8O07kCiPw&amp;cb_client=search.gws-prod.gps&amp;w=408&amp;h=240&amp;yaw=43.60452&amp;pitch=0&amp;thumbfov=100", "link")</f>
        <v>link</v>
      </c>
    </row>
    <row r="3768" spans="1:4" x14ac:dyDescent="0.45">
      <c r="A3768" t="s">
        <v>3770</v>
      </c>
      <c r="B3768">
        <v>34.007509800000001</v>
      </c>
      <c r="C3768">
        <v>-118.4924572</v>
      </c>
      <c r="D3768" t="s">
        <v>5</v>
      </c>
    </row>
    <row r="3769" spans="1:4" x14ac:dyDescent="0.45">
      <c r="A3769" t="s">
        <v>3771</v>
      </c>
      <c r="B3769">
        <v>34.007466299999997</v>
      </c>
      <c r="C3769">
        <v>-118.4925092</v>
      </c>
      <c r="D3769" t="s">
        <v>5</v>
      </c>
    </row>
    <row r="3770" spans="1:4" x14ac:dyDescent="0.45">
      <c r="A3770" t="s">
        <v>3772</v>
      </c>
      <c r="B3770">
        <v>34.007501900000001</v>
      </c>
      <c r="C3770">
        <v>-118.4924492</v>
      </c>
      <c r="D3770" t="s">
        <v>5</v>
      </c>
    </row>
    <row r="3771" spans="1:4" x14ac:dyDescent="0.45">
      <c r="A3771" t="s">
        <v>3773</v>
      </c>
      <c r="B3771">
        <v>34.0132555</v>
      </c>
      <c r="C3771">
        <v>-118.4933187</v>
      </c>
      <c r="D3771" t="str">
        <f>HYPERLINK("https://lh5.googleusercontent.com/p/AF1QipMmCyZVVPnd2bhzF8DTUSH8OEeUoALrZNw7NcxI=w408-h544-k-no", "link")</f>
        <v>link</v>
      </c>
    </row>
    <row r="3772" spans="1:4" x14ac:dyDescent="0.45">
      <c r="A3772" t="s">
        <v>3774</v>
      </c>
      <c r="B3772">
        <v>34.013447199999902</v>
      </c>
      <c r="C3772">
        <v>-118.4969964</v>
      </c>
      <c r="D3772" t="str">
        <f>HYPERLINK("https://streetviewpixels-pa.googleapis.com/v1/thumbnail?panoid=7LHjdK9NQ6IhMVgoeX5bmw&amp;cb_client=search.gws-prod.gps&amp;w=408&amp;h=240&amp;yaw=204.15558&amp;pitch=0&amp;thumbfov=100", "link")</f>
        <v>link</v>
      </c>
    </row>
    <row r="3773" spans="1:4" x14ac:dyDescent="0.45">
      <c r="A3773" t="s">
        <v>3775</v>
      </c>
      <c r="B3773">
        <v>34.013714700000001</v>
      </c>
      <c r="C3773">
        <v>-118.49278289999999</v>
      </c>
      <c r="D3773" t="str">
        <f>HYPERLINK("https://lh5.googleusercontent.com/p/AF1QipPohhOXObdq5iewNdwrA6Qht57WA-7h3S-HLVI=w408-h338-k-no", "link")</f>
        <v>link</v>
      </c>
    </row>
    <row r="3774" spans="1:4" x14ac:dyDescent="0.45">
      <c r="A3774" t="s">
        <v>3776</v>
      </c>
      <c r="B3774">
        <v>34.008337099999999</v>
      </c>
      <c r="C3774">
        <v>-118.4903195</v>
      </c>
      <c r="D3774" t="s">
        <v>5</v>
      </c>
    </row>
    <row r="3775" spans="1:4" x14ac:dyDescent="0.45">
      <c r="A3775" t="s">
        <v>3777</v>
      </c>
      <c r="B3775">
        <v>34.014279600000002</v>
      </c>
      <c r="C3775">
        <v>-118.4957222</v>
      </c>
      <c r="D3775" t="str">
        <f>HYPERLINK("https://streetviewpixels-pa.googleapis.com/v1/thumbnail?panoid=QCx_lA4DknchnxHNhP7b1Q&amp;cb_client=search.gws-prod.gps&amp;w=408&amp;h=240&amp;yaw=89.93384&amp;pitch=0&amp;thumbfov=100", "link")</f>
        <v>link</v>
      </c>
    </row>
    <row r="3776" spans="1:4" x14ac:dyDescent="0.45">
      <c r="A3776" t="s">
        <v>3778</v>
      </c>
      <c r="B3776">
        <v>34.013856400000002</v>
      </c>
      <c r="C3776">
        <v>-118.4975994</v>
      </c>
      <c r="D3776" t="str">
        <f>HYPERLINK("https://streetviewpixels-pa.googleapis.com/v1/thumbnail?panoid=nXc9qrSumXZUN-uU7TwgWg&amp;cb_client=search.gws-prod.gps&amp;w=408&amp;h=240&amp;yaw=53.538513&amp;pitch=0&amp;thumbfov=100", "link")</f>
        <v>link</v>
      </c>
    </row>
    <row r="3777" spans="1:4" x14ac:dyDescent="0.45">
      <c r="A3777" t="s">
        <v>3779</v>
      </c>
      <c r="B3777">
        <v>34.011367100000001</v>
      </c>
      <c r="C3777">
        <v>-118.4900406</v>
      </c>
      <c r="D3777" t="str">
        <f>HYPERLINK("https://streetviewpixels-pa.googleapis.com/v1/thumbnail?panoid=A0imW2nwwiogZCGjC44PGQ&amp;cb_client=search.gws-prod.gps&amp;w=408&amp;h=240&amp;yaw=55.492004&amp;pitch=0&amp;thumbfov=100", "link")</f>
        <v>link</v>
      </c>
    </row>
    <row r="3778" spans="1:4" x14ac:dyDescent="0.45">
      <c r="A3778" t="s">
        <v>3780</v>
      </c>
      <c r="B3778">
        <v>34.014328599999999</v>
      </c>
      <c r="C3778">
        <v>-118.4961862</v>
      </c>
      <c r="D3778" t="str">
        <f>HYPERLINK("https://streetviewpixels-pa.googleapis.com/v1/thumbnail?panoid=QCx_lA4DknchnxHNhP7b1Q&amp;cb_client=search.gws-prod.gps&amp;w=408&amp;h=240&amp;yaw=68.583595&amp;pitch=0&amp;thumbfov=100", "link")</f>
        <v>link</v>
      </c>
    </row>
    <row r="3779" spans="1:4" x14ac:dyDescent="0.45">
      <c r="A3779" t="s">
        <v>3781</v>
      </c>
      <c r="B3779">
        <v>34.014375999999899</v>
      </c>
      <c r="C3779">
        <v>-118.49417010000001</v>
      </c>
      <c r="D3779" t="str">
        <f>HYPERLINK("https://lh5.googleusercontent.com/p/AF1QipOdK98rRP51nn5dJMbCD54XTNoBwnYS3y_mrk5R=w408-h306-k-no", "link")</f>
        <v>link</v>
      </c>
    </row>
    <row r="3780" spans="1:4" x14ac:dyDescent="0.45">
      <c r="A3780" t="s">
        <v>3782</v>
      </c>
      <c r="B3780">
        <v>34.010001600000002</v>
      </c>
      <c r="C3780">
        <v>-118.495073</v>
      </c>
      <c r="D3780" t="str">
        <f>HYPERLINK("https://lh5.googleusercontent.com/p/AF1QipMhd4NXZ1QbkXgdW1alpznyReILkyRU_zvaScme=w408-h544-k-no", "link")</f>
        <v>link</v>
      </c>
    </row>
    <row r="3781" spans="1:4" x14ac:dyDescent="0.45">
      <c r="A3781" t="s">
        <v>3783</v>
      </c>
      <c r="B3781">
        <v>34.010021999999999</v>
      </c>
      <c r="C3781">
        <v>-118.4950637</v>
      </c>
      <c r="D3781" t="str">
        <f>HYPERLINK("https://lh5.googleusercontent.com/p/AF1QipMhd4NXZ1QbkXgdW1alpznyReILkyRU_zvaScme=w408-h544-k-no", "link")</f>
        <v>link</v>
      </c>
    </row>
    <row r="3782" spans="1:4" x14ac:dyDescent="0.45">
      <c r="A3782" t="s">
        <v>3784</v>
      </c>
      <c r="B3782">
        <v>34.009955499999997</v>
      </c>
      <c r="C3782">
        <v>-118.49501600000001</v>
      </c>
      <c r="D3782" t="str">
        <f>HYPERLINK("https://lh5.googleusercontent.com/p/AF1QipMhd4NXZ1QbkXgdW1alpznyReILkyRU_zvaScme=w408-h544-k-no", "link")</f>
        <v>link</v>
      </c>
    </row>
    <row r="3783" spans="1:4" x14ac:dyDescent="0.45">
      <c r="A3783" t="s">
        <v>3785</v>
      </c>
      <c r="B3783">
        <v>34.009132100000002</v>
      </c>
      <c r="C3783">
        <v>-118.49415140000001</v>
      </c>
      <c r="D3783" t="s">
        <v>5</v>
      </c>
    </row>
    <row r="3784" spans="1:4" x14ac:dyDescent="0.45">
      <c r="A3784" t="s">
        <v>3786</v>
      </c>
      <c r="B3784">
        <v>34.009061299999999</v>
      </c>
      <c r="C3784">
        <v>-118.49400230000001</v>
      </c>
      <c r="D3784" t="s">
        <v>5</v>
      </c>
    </row>
    <row r="3785" spans="1:4" x14ac:dyDescent="0.45">
      <c r="A3785" t="s">
        <v>3787</v>
      </c>
      <c r="B3785">
        <v>34.009456499999999</v>
      </c>
      <c r="C3785">
        <v>-118.4965263</v>
      </c>
      <c r="D3785" t="s">
        <v>5</v>
      </c>
    </row>
    <row r="3786" spans="1:4" x14ac:dyDescent="0.45">
      <c r="A3786" t="s">
        <v>3788</v>
      </c>
      <c r="B3786">
        <v>34.011054399999999</v>
      </c>
      <c r="C3786">
        <v>-118.49620419999999</v>
      </c>
      <c r="D3786" t="s">
        <v>5</v>
      </c>
    </row>
    <row r="3787" spans="1:4" x14ac:dyDescent="0.45">
      <c r="A3787" t="s">
        <v>3789</v>
      </c>
      <c r="B3787">
        <v>34.009704499999998</v>
      </c>
      <c r="C3787">
        <v>-118.4968045</v>
      </c>
      <c r="D3787" t="s">
        <v>5</v>
      </c>
    </row>
    <row r="3788" spans="1:4" x14ac:dyDescent="0.45">
      <c r="A3788" t="s">
        <v>3790</v>
      </c>
      <c r="B3788">
        <v>34.010393999999998</v>
      </c>
      <c r="C3788">
        <v>-118.4933108</v>
      </c>
      <c r="D3788" t="str">
        <f>HYPERLINK("https://streetviewpixels-pa.googleapis.com/v1/thumbnail?panoid=QAM30B07OTbADYtVOttH_A&amp;cb_client=search.gws-prod.gps&amp;w=408&amp;h=240&amp;yaw=330.09454&amp;pitch=0&amp;thumbfov=100", "link")</f>
        <v>link</v>
      </c>
    </row>
    <row r="3789" spans="1:4" x14ac:dyDescent="0.45">
      <c r="A3789" t="s">
        <v>3791</v>
      </c>
      <c r="B3789">
        <v>34.010356000000002</v>
      </c>
      <c r="C3789">
        <v>-118.49306199999999</v>
      </c>
      <c r="D3789" t="str">
        <f>HYPERLINK("https://streetviewpixels-pa.googleapis.com/v1/thumbnail?panoid=QfMpvUCG33FcLtcj4ETJHA&amp;cb_client=search.gws-prod.gps&amp;w=408&amp;h=240&amp;yaw=43.441833&amp;pitch=0&amp;thumbfov=100", "link")</f>
        <v>link</v>
      </c>
    </row>
    <row r="3790" spans="1:4" x14ac:dyDescent="0.45">
      <c r="A3790" t="s">
        <v>3792</v>
      </c>
      <c r="B3790">
        <v>34.010763699999998</v>
      </c>
      <c r="C3790">
        <v>-118.4969426</v>
      </c>
      <c r="D3790" t="str">
        <f>HYPERLINK("https://lh5.googleusercontent.com/p/AF1QipPGReLbxYnELe8XepdGcxvwxpF1Qr-qvVynrsJC=w408-h408-k-no", "link")</f>
        <v>link</v>
      </c>
    </row>
    <row r="3791" spans="1:4" x14ac:dyDescent="0.45">
      <c r="A3791" t="s">
        <v>3793</v>
      </c>
      <c r="B3791">
        <v>34.011891200000001</v>
      </c>
      <c r="C3791">
        <v>-118.4945834</v>
      </c>
      <c r="D3791" t="str">
        <f>HYPERLINK("https://streetviewpixels-pa.googleapis.com/v1/thumbnail?panoid=RANJwDDuUtiGMztatYnOaA&amp;cb_client=search.gws-prod.gps&amp;w=408&amp;h=240&amp;yaw=344.7847&amp;pitch=0&amp;thumbfov=100", "link")</f>
        <v>link</v>
      </c>
    </row>
    <row r="3792" spans="1:4" x14ac:dyDescent="0.45">
      <c r="A3792" t="s">
        <v>3794</v>
      </c>
      <c r="B3792">
        <v>34.011967900000002</v>
      </c>
      <c r="C3792">
        <v>-118.4952691</v>
      </c>
      <c r="D3792" t="str">
        <f>HYPERLINK("https://streetviewpixels-pa.googleapis.com/v1/thumbnail?panoid=WyA1l-jptdwTx3LMOOZRzw&amp;cb_client=search.gws-prod.gps&amp;w=408&amp;h=240&amp;yaw=50.946922&amp;pitch=0&amp;thumbfov=100", "link")</f>
        <v>link</v>
      </c>
    </row>
    <row r="3793" spans="1:4" x14ac:dyDescent="0.45">
      <c r="A3793" t="s">
        <v>3795</v>
      </c>
      <c r="B3793">
        <v>34.012073399999998</v>
      </c>
      <c r="C3793">
        <v>-118.495418</v>
      </c>
      <c r="D3793" t="str">
        <f>HYPERLINK("https://streetviewpixels-pa.googleapis.com/v1/thumbnail?panoid=c4jlePYo8XRtBITQSLN4iA&amp;cb_client=search.gws-prod.gps&amp;w=408&amp;h=240&amp;yaw=50.182125&amp;pitch=0&amp;thumbfov=100", "link")</f>
        <v>link</v>
      </c>
    </row>
    <row r="3794" spans="1:4" x14ac:dyDescent="0.45">
      <c r="A3794" t="s">
        <v>3796</v>
      </c>
      <c r="B3794">
        <v>34.012177299999998</v>
      </c>
      <c r="C3794">
        <v>-118.4952301</v>
      </c>
      <c r="D3794" t="str">
        <f>HYPERLINK("https://streetviewpixels-pa.googleapis.com/v1/thumbnail?panoid=WyA1l-jptdwTx3LMOOZRzw&amp;cb_client=search.gws-prod.gps&amp;w=408&amp;h=240&amp;yaw=50.946922&amp;pitch=0&amp;thumbfov=100", "link")</f>
        <v>link</v>
      </c>
    </row>
    <row r="3795" spans="1:4" x14ac:dyDescent="0.45">
      <c r="A3795" t="s">
        <v>3797</v>
      </c>
      <c r="B3795">
        <v>34.010985699999999</v>
      </c>
      <c r="C3795">
        <v>-118.497698</v>
      </c>
      <c r="D3795" t="str">
        <f>HYPERLINK("https://lh5.googleusercontent.com/p/AF1QipO_vE45hRQeORlTtAliFDIAtR0Afk7NXJD-V17F=w408-h306-k-no", "link")</f>
        <v>link</v>
      </c>
    </row>
    <row r="3796" spans="1:4" x14ac:dyDescent="0.45">
      <c r="A3796" t="s">
        <v>3798</v>
      </c>
      <c r="B3796">
        <v>34.0123751</v>
      </c>
      <c r="C3796">
        <v>-118.4946573</v>
      </c>
      <c r="D3796" t="str">
        <f>HYPERLINK("https://streetviewpixels-pa.googleapis.com/v1/thumbnail?panoid=PLV387najv2fBrMxhT3AEw&amp;cb_client=search.gws-prod.gps&amp;w=408&amp;h=240&amp;yaw=88.54971&amp;pitch=0&amp;thumbfov=100", "link")</f>
        <v>link</v>
      </c>
    </row>
    <row r="3797" spans="1:4" x14ac:dyDescent="0.45">
      <c r="A3797" t="s">
        <v>3799</v>
      </c>
      <c r="B3797">
        <v>34.011035300000003</v>
      </c>
      <c r="C3797">
        <v>-118.4977095</v>
      </c>
      <c r="D3797" t="str">
        <f>HYPERLINK("https://lh5.googleusercontent.com/p/AF1QipO_vE45hRQeORlTtAliFDIAtR0Afk7NXJD-V17F=w408-h306-k-no", "link")</f>
        <v>link</v>
      </c>
    </row>
    <row r="3798" spans="1:4" x14ac:dyDescent="0.45">
      <c r="A3798" t="s">
        <v>3800</v>
      </c>
      <c r="B3798">
        <v>34.009759299999899</v>
      </c>
      <c r="C3798">
        <v>-118.4919721</v>
      </c>
      <c r="D3798" t="str">
        <f>HYPERLINK("https://streetviewpixels-pa.googleapis.com/v1/thumbnail?panoid=1iQW5sAB_PgG3J8DsSVByw&amp;cb_client=search.gws-prod.gps&amp;w=408&amp;h=240&amp;yaw=45.80022&amp;pitch=0&amp;thumbfov=100", "link")</f>
        <v>link</v>
      </c>
    </row>
    <row r="3799" spans="1:4" x14ac:dyDescent="0.45">
      <c r="A3799" t="s">
        <v>3801</v>
      </c>
      <c r="B3799">
        <v>34.013748800000002</v>
      </c>
      <c r="C3799">
        <v>-118.4907307</v>
      </c>
      <c r="D3799" t="s">
        <v>5</v>
      </c>
    </row>
    <row r="3800" spans="1:4" x14ac:dyDescent="0.45">
      <c r="A3800" t="s">
        <v>3802</v>
      </c>
      <c r="B3800">
        <v>34.015314199999999</v>
      </c>
      <c r="C3800">
        <v>-118.49432849999999</v>
      </c>
      <c r="D3800" t="str">
        <f>HYPERLINK("https://streetviewpixels-pa.googleapis.com/v1/thumbnail?panoid=NlzsEpRMHJ2bftqEiFGFSA&amp;cb_client=search.gws-prod.gps&amp;w=408&amp;h=240&amp;yaw=241.61226&amp;pitch=0&amp;thumbfov=100", "link")</f>
        <v>link</v>
      </c>
    </row>
    <row r="3801" spans="1:4" x14ac:dyDescent="0.45">
      <c r="A3801" t="s">
        <v>3803</v>
      </c>
      <c r="B3801">
        <v>34.0154292</v>
      </c>
      <c r="C3801">
        <v>-118.4926644</v>
      </c>
      <c r="D3801" t="str">
        <f>HYPERLINK("https://streetviewpixels-pa.googleapis.com/v1/thumbnail?panoid=-rpFtjO4juiNOuxsKpaiaw&amp;cb_client=search.gws-prod.gps&amp;w=408&amp;h=240&amp;yaw=139.6986&amp;pitch=0&amp;thumbfov=100", "link")</f>
        <v>link</v>
      </c>
    </row>
    <row r="3802" spans="1:4" x14ac:dyDescent="0.45">
      <c r="A3802" t="s">
        <v>3804</v>
      </c>
      <c r="B3802">
        <v>34.014946999999999</v>
      </c>
      <c r="C3802">
        <v>-118.49136799999999</v>
      </c>
      <c r="D3802" t="str">
        <f>HYPERLINK("https://streetviewpixels-pa.googleapis.com/v1/thumbnail?panoid=np6PEFbYqdCPG80uF92UXw&amp;cb_client=search.gws-prod.gps&amp;w=408&amp;h=240&amp;yaw=20.142763&amp;pitch=0&amp;thumbfov=100", "link")</f>
        <v>link</v>
      </c>
    </row>
    <row r="3803" spans="1:4" x14ac:dyDescent="0.45">
      <c r="A3803" t="s">
        <v>3805</v>
      </c>
      <c r="B3803">
        <v>34.014741100000002</v>
      </c>
      <c r="C3803">
        <v>-118.4910843</v>
      </c>
      <c r="D3803" t="str">
        <f>HYPERLINK("https://streetviewpixels-pa.googleapis.com/v1/thumbnail?panoid=np6PEFbYqdCPG80uF92UXw&amp;cb_client=search.gws-prod.gps&amp;w=408&amp;h=240&amp;yaw=20.142763&amp;pitch=0&amp;thumbfov=100", "link")</f>
        <v>link</v>
      </c>
    </row>
    <row r="3804" spans="1:4" x14ac:dyDescent="0.45">
      <c r="A3804" t="s">
        <v>3806</v>
      </c>
      <c r="B3804">
        <v>34.013793900000003</v>
      </c>
      <c r="C3804">
        <v>-118.4904994</v>
      </c>
      <c r="D3804" t="str">
        <f>HYPERLINK("https://streetviewpixels-pa.googleapis.com/v1/thumbnail?panoid=ojj0aWMLFst8KBGepr9LWA&amp;cb_client=search.gws-prod.gps&amp;w=408&amp;h=240&amp;yaw=299.19324&amp;pitch=0&amp;thumbfov=100", "link")</f>
        <v>link</v>
      </c>
    </row>
    <row r="3805" spans="1:4" x14ac:dyDescent="0.45">
      <c r="A3805" t="s">
        <v>3807</v>
      </c>
      <c r="B3805">
        <v>34.015514000000003</v>
      </c>
      <c r="C3805">
        <v>-118.4943449</v>
      </c>
      <c r="D3805" t="str">
        <f>HYPERLINK("https://streetviewpixels-pa.googleapis.com/v1/thumbnail?panoid=NlzsEpRMHJ2bftqEiFGFSA&amp;cb_client=search.gws-prod.gps&amp;w=408&amp;h=240&amp;yaw=241.61226&amp;pitch=0&amp;thumbfov=100", "link")</f>
        <v>link</v>
      </c>
    </row>
    <row r="3806" spans="1:4" x14ac:dyDescent="0.45">
      <c r="A3806" t="s">
        <v>3808</v>
      </c>
      <c r="B3806">
        <v>34.013186599999997</v>
      </c>
      <c r="C3806">
        <v>-118.49027390000001</v>
      </c>
      <c r="D3806" t="str">
        <f>HYPERLINK("https://streetviewpixels-pa.googleapis.com/v1/thumbnail?panoid=uKAh-nFho0XJJ9Uvuj41Hg&amp;cb_client=search.gws-prod.gps&amp;w=408&amp;h=240&amp;yaw=198.132&amp;pitch=0&amp;thumbfov=100", "link")</f>
        <v>link</v>
      </c>
    </row>
    <row r="3807" spans="1:4" x14ac:dyDescent="0.45">
      <c r="A3807" t="s">
        <v>3809</v>
      </c>
      <c r="B3807">
        <v>34.015333999999903</v>
      </c>
      <c r="C3807">
        <v>-118.4915465</v>
      </c>
      <c r="D3807" t="str">
        <f>HYPERLINK("https://streetviewpixels-pa.googleapis.com/v1/thumbnail?panoid=HCGhCIF-mDMEmFQY5rsl9Q&amp;cb_client=search.gws-prod.gps&amp;w=408&amp;h=240&amp;yaw=64.16723&amp;pitch=0&amp;thumbfov=100", "link")</f>
        <v>link</v>
      </c>
    </row>
    <row r="3808" spans="1:4" x14ac:dyDescent="0.45">
      <c r="A3808" t="s">
        <v>3810</v>
      </c>
      <c r="B3808">
        <v>34.014666900000002</v>
      </c>
      <c r="C3808">
        <v>-118.49595480000001</v>
      </c>
      <c r="D3808" t="str">
        <f>HYPERLINK("https://lh5.googleusercontent.com/p/AF1QipO4jMwnbrhifvdcPHZ11whYf8aHxyn2IyjzVRGV=w426-h240-k-no", "link")</f>
        <v>link</v>
      </c>
    </row>
    <row r="3809" spans="1:4" x14ac:dyDescent="0.45">
      <c r="A3809" t="s">
        <v>3811</v>
      </c>
      <c r="B3809">
        <v>34.014965500000002</v>
      </c>
      <c r="C3809">
        <v>-118.4961182</v>
      </c>
      <c r="D3809" t="str">
        <f>HYPERLINK("https://streetviewpixels-pa.googleapis.com/v1/thumbnail?panoid=UuBNa5mqAjKPy_0V1VPluA&amp;cb_client=search.gws-prod.gps&amp;w=408&amp;h=240&amp;yaw=175.13239&amp;pitch=0&amp;thumbfov=100", "link")</f>
        <v>link</v>
      </c>
    </row>
    <row r="3810" spans="1:4" x14ac:dyDescent="0.45">
      <c r="A3810" t="s">
        <v>3812</v>
      </c>
      <c r="B3810">
        <v>34.014336599999901</v>
      </c>
      <c r="C3810">
        <v>-118.49365090000001</v>
      </c>
      <c r="D3810" t="str">
        <f>HYPERLINK("https://streetviewpixels-pa.googleapis.com/v1/thumbnail?panoid=LRwyTaoZ9L4WSjyff71P5A&amp;cb_client=search.gws-prod.gps&amp;w=408&amp;h=240&amp;yaw=134.62155&amp;pitch=0&amp;thumbfov=100", "link")</f>
        <v>link</v>
      </c>
    </row>
    <row r="3811" spans="1:4" x14ac:dyDescent="0.45">
      <c r="A3811" t="s">
        <v>3813</v>
      </c>
      <c r="B3811">
        <v>34.0148016999999</v>
      </c>
      <c r="C3811">
        <v>-118.4927065</v>
      </c>
      <c r="D3811" t="str">
        <f>HYPERLINK("https://streetviewpixels-pa.googleapis.com/v1/thumbnail?panoid=3lewQTdscSdXy_0YAqNLOw&amp;cb_client=search.gws-prod.gps&amp;w=408&amp;h=240&amp;yaw=29.892448&amp;pitch=0&amp;thumbfov=100", "link")</f>
        <v>link</v>
      </c>
    </row>
    <row r="3812" spans="1:4" x14ac:dyDescent="0.45">
      <c r="A3812" t="s">
        <v>3814</v>
      </c>
      <c r="B3812">
        <v>34.014623700000001</v>
      </c>
      <c r="C3812">
        <v>-118.4945153</v>
      </c>
      <c r="D3812" t="str">
        <f>HYPERLINK("https://lh5.googleusercontent.com/p/AF1QipMYuzAfMl-2b2pXjXG0fwRE5GfpAcc8XnXGiB4y=w408-h271-k-no", "link")</f>
        <v>link</v>
      </c>
    </row>
    <row r="3813" spans="1:4" x14ac:dyDescent="0.45">
      <c r="A3813" t="s">
        <v>3815</v>
      </c>
      <c r="B3813">
        <v>34.014754799999999</v>
      </c>
      <c r="C3813">
        <v>-118.49432779999999</v>
      </c>
      <c r="D3813" t="str">
        <f>HYPERLINK("https://lh5.googleusercontent.com/p/AF1QipNWJsQXhG1SOke5YBy6pU_MUCMiC44BsUYw9VRE=w426-h240-k-no", "link")</f>
        <v>link</v>
      </c>
    </row>
    <row r="3814" spans="1:4" x14ac:dyDescent="0.45">
      <c r="A3814" t="s">
        <v>3816</v>
      </c>
      <c r="B3814">
        <v>34.015032400000003</v>
      </c>
      <c r="C3814">
        <v>-118.49275299999999</v>
      </c>
      <c r="D3814" t="str">
        <f>HYPERLINK("https://streetviewpixels-pa.googleapis.com/v1/thumbnail?panoid=3lewQTdscSdXy_0YAqNLOw&amp;cb_client=search.gws-prod.gps&amp;w=408&amp;h=240&amp;yaw=29.892448&amp;pitch=0&amp;thumbfov=100", "link")</f>
        <v>link</v>
      </c>
    </row>
    <row r="3815" spans="1:4" x14ac:dyDescent="0.45">
      <c r="A3815" t="s">
        <v>3817</v>
      </c>
      <c r="B3815">
        <v>34.014755000000001</v>
      </c>
      <c r="C3815">
        <v>-118.491618</v>
      </c>
      <c r="D3815" t="str">
        <f>HYPERLINK("https://streetviewpixels-pa.googleapis.com/v1/thumbnail?panoid=w9uLoXCuY9HiegcHQESggQ&amp;cb_client=search.gws-prod.gps&amp;w=408&amp;h=240&amp;yaw=177.84346&amp;pitch=0&amp;thumbfov=100", "link")</f>
        <v>link</v>
      </c>
    </row>
    <row r="3816" spans="1:4" x14ac:dyDescent="0.45">
      <c r="A3816" t="s">
        <v>3818</v>
      </c>
      <c r="B3816">
        <v>34.015182799999998</v>
      </c>
      <c r="C3816">
        <v>-118.4942631</v>
      </c>
      <c r="D3816" t="str">
        <f>HYPERLINK("https://streetviewpixels-pa.googleapis.com/v1/thumbnail?panoid=NlzsEpRMHJ2bftqEiFGFSA&amp;cb_client=search.gws-prod.gps&amp;w=408&amp;h=240&amp;yaw=241.61226&amp;pitch=0&amp;thumbfov=100", "link")</f>
        <v>link</v>
      </c>
    </row>
    <row r="3817" spans="1:4" x14ac:dyDescent="0.45">
      <c r="A3817" t="s">
        <v>3819</v>
      </c>
      <c r="B3817">
        <v>34.003884300000003</v>
      </c>
      <c r="C3817">
        <v>-118.48616850000001</v>
      </c>
      <c r="D3817" t="s">
        <v>5</v>
      </c>
    </row>
    <row r="3818" spans="1:4" x14ac:dyDescent="0.45">
      <c r="A3818" t="s">
        <v>3820</v>
      </c>
      <c r="B3818">
        <v>34.001874200000003</v>
      </c>
      <c r="C3818">
        <v>-118.4873999</v>
      </c>
      <c r="D3818" t="s">
        <v>5</v>
      </c>
    </row>
    <row r="3819" spans="1:4" x14ac:dyDescent="0.45">
      <c r="A3819" t="s">
        <v>3821</v>
      </c>
      <c r="B3819">
        <v>34.008618200000001</v>
      </c>
      <c r="C3819">
        <v>-118.4893615</v>
      </c>
      <c r="D3819" t="s">
        <v>5</v>
      </c>
    </row>
    <row r="3820" spans="1:4" x14ac:dyDescent="0.45">
      <c r="A3820" t="s">
        <v>3822</v>
      </c>
      <c r="B3820">
        <v>34.005006600000002</v>
      </c>
      <c r="C3820">
        <v>-118.4857576</v>
      </c>
      <c r="D3820" t="s">
        <v>5</v>
      </c>
    </row>
    <row r="3821" spans="1:4" x14ac:dyDescent="0.45">
      <c r="A3821" t="s">
        <v>3823</v>
      </c>
      <c r="B3821">
        <v>34.003407099999997</v>
      </c>
      <c r="C3821">
        <v>-118.4857576</v>
      </c>
      <c r="D3821" t="s">
        <v>5</v>
      </c>
    </row>
    <row r="3822" spans="1:4" x14ac:dyDescent="0.45">
      <c r="A3822" t="s">
        <v>3824</v>
      </c>
      <c r="B3822">
        <v>34.003363999999998</v>
      </c>
      <c r="C3822">
        <v>-118.4857035</v>
      </c>
      <c r="D3822" t="s">
        <v>5</v>
      </c>
    </row>
    <row r="3823" spans="1:4" x14ac:dyDescent="0.45">
      <c r="A3823" t="s">
        <v>3825</v>
      </c>
      <c r="B3823">
        <v>34.0089726</v>
      </c>
      <c r="C3823">
        <v>-118.489496</v>
      </c>
      <c r="D3823" t="str">
        <f>HYPERLINK("https://streetviewpixels-pa.googleapis.com/v1/thumbnail?panoid=ZfMlTaHKxGIhsKgFLXEfNA&amp;cb_client=search.gws-prod.gps&amp;w=408&amp;h=240&amp;yaw=78.57954&amp;pitch=0&amp;thumbfov=100", "link")</f>
        <v>link</v>
      </c>
    </row>
    <row r="3824" spans="1:4" x14ac:dyDescent="0.45">
      <c r="A3824" t="s">
        <v>3826</v>
      </c>
      <c r="B3824">
        <v>34.008591199999998</v>
      </c>
      <c r="C3824">
        <v>-118.4881548</v>
      </c>
      <c r="D3824" t="str">
        <f>HYPERLINK("https://streetviewpixels-pa.googleapis.com/v1/thumbnail?panoid=JBm1W6xjDYQ9ySz4skzH3w&amp;cb_client=search.gws-prod.gps&amp;w=408&amp;h=240&amp;yaw=234.95872&amp;pitch=0&amp;thumbfov=100", "link")</f>
        <v>link</v>
      </c>
    </row>
    <row r="3825" spans="1:4" x14ac:dyDescent="0.45">
      <c r="A3825" t="s">
        <v>3827</v>
      </c>
      <c r="B3825">
        <v>34.009034100000001</v>
      </c>
      <c r="C3825">
        <v>-118.4893711</v>
      </c>
      <c r="D3825" t="str">
        <f>HYPERLINK("https://streetviewpixels-pa.googleapis.com/v1/thumbnail?panoid=ZfMlTaHKxGIhsKgFLXEfNA&amp;cb_client=search.gws-prod.gps&amp;w=408&amp;h=240&amp;yaw=78.57954&amp;pitch=0&amp;thumbfov=100", "link")</f>
        <v>link</v>
      </c>
    </row>
    <row r="3826" spans="1:4" x14ac:dyDescent="0.45">
      <c r="A3826" t="s">
        <v>3828</v>
      </c>
      <c r="B3826">
        <v>34.003088900000002</v>
      </c>
      <c r="C3826">
        <v>-118.4849952</v>
      </c>
      <c r="D3826" t="str">
        <f>HYPERLINK("https://streetviewpixels-pa.googleapis.com/v1/thumbnail?panoid=Ofi5fUycy9tkNqVkEsVxyA&amp;cb_client=search.gws-prod.gps&amp;w=408&amp;h=240&amp;yaw=254.19243&amp;pitch=0&amp;thumbfov=100", "link")</f>
        <v>link</v>
      </c>
    </row>
    <row r="3827" spans="1:4" x14ac:dyDescent="0.45">
      <c r="A3827" t="s">
        <v>3829</v>
      </c>
      <c r="B3827">
        <v>34.003370099999998</v>
      </c>
      <c r="C3827">
        <v>-118.4847489</v>
      </c>
      <c r="D3827" t="str">
        <f>HYPERLINK("https://streetviewpixels-pa.googleapis.com/v1/thumbnail?panoid=7qjrw1fF6tSDxq6puRwiww&amp;cb_client=search.gws-prod.gps&amp;w=408&amp;h=240&amp;yaw=65.80245&amp;pitch=0&amp;thumbfov=100", "link")</f>
        <v>link</v>
      </c>
    </row>
    <row r="3828" spans="1:4" x14ac:dyDescent="0.45">
      <c r="A3828" t="s">
        <v>3830</v>
      </c>
      <c r="B3828">
        <v>34.009971299999997</v>
      </c>
      <c r="C3828">
        <v>-118.48967399999999</v>
      </c>
      <c r="D3828" t="s">
        <v>5</v>
      </c>
    </row>
    <row r="3829" spans="1:4" x14ac:dyDescent="0.45">
      <c r="A3829" t="s">
        <v>3831</v>
      </c>
      <c r="B3829">
        <v>34.002511400000003</v>
      </c>
      <c r="C3829">
        <v>-118.4847084</v>
      </c>
      <c r="D3829" t="s">
        <v>5</v>
      </c>
    </row>
    <row r="3830" spans="1:4" x14ac:dyDescent="0.45">
      <c r="A3830" t="s">
        <v>3832</v>
      </c>
      <c r="B3830">
        <v>34.002980099999903</v>
      </c>
      <c r="C3830">
        <v>-118.48443469999999</v>
      </c>
      <c r="D3830" t="s">
        <v>5</v>
      </c>
    </row>
    <row r="3831" spans="1:4" x14ac:dyDescent="0.45">
      <c r="A3831" t="s">
        <v>3833</v>
      </c>
      <c r="B3831">
        <v>34.009631800000001</v>
      </c>
      <c r="C3831">
        <v>-118.4870584</v>
      </c>
      <c r="D3831" t="str">
        <f>HYPERLINK("https://streetviewpixels-pa.googleapis.com/v1/thumbnail?panoid=JXzcO2tEzr9ZWBb9AMTH-A&amp;cb_client=search.gws-prod.gps&amp;w=408&amp;h=240&amp;yaw=133.44643&amp;pitch=0&amp;thumbfov=100", "link")</f>
        <v>link</v>
      </c>
    </row>
    <row r="3832" spans="1:4" x14ac:dyDescent="0.45">
      <c r="A3832" t="s">
        <v>3834</v>
      </c>
      <c r="B3832">
        <v>34.004798999999998</v>
      </c>
      <c r="C3832">
        <v>-118.4905378</v>
      </c>
      <c r="D3832" t="s">
        <v>5</v>
      </c>
    </row>
    <row r="3833" spans="1:4" x14ac:dyDescent="0.45">
      <c r="A3833" t="s">
        <v>3835</v>
      </c>
      <c r="B3833">
        <v>34.004930199999997</v>
      </c>
      <c r="C3833">
        <v>-118.49014940000001</v>
      </c>
      <c r="D3833" t="str">
        <f>HYPERLINK("https://lh5.googleusercontent.com/p/AF1QipMFysW8YXKWLpcRTe1SBoqynv5H6foQ_InNraEe=w408-h408-k-no", "link")</f>
        <v>link</v>
      </c>
    </row>
    <row r="3834" spans="1:4" x14ac:dyDescent="0.45">
      <c r="A3834" t="s">
        <v>3836</v>
      </c>
      <c r="B3834">
        <v>34.005160500000002</v>
      </c>
      <c r="C3834">
        <v>-118.4908669</v>
      </c>
      <c r="D3834" t="s">
        <v>5</v>
      </c>
    </row>
    <row r="3835" spans="1:4" x14ac:dyDescent="0.45">
      <c r="A3835" t="s">
        <v>3837</v>
      </c>
      <c r="B3835">
        <v>34.005859600000001</v>
      </c>
      <c r="C3835">
        <v>-118.48992130000001</v>
      </c>
      <c r="D3835" t="s">
        <v>5</v>
      </c>
    </row>
    <row r="3836" spans="1:4" x14ac:dyDescent="0.45">
      <c r="A3836" t="s">
        <v>3838</v>
      </c>
      <c r="B3836">
        <v>34.006083699999998</v>
      </c>
      <c r="C3836">
        <v>-118.4902967</v>
      </c>
      <c r="D3836" t="s">
        <v>5</v>
      </c>
    </row>
    <row r="3837" spans="1:4" x14ac:dyDescent="0.45">
      <c r="A3837" t="s">
        <v>3839</v>
      </c>
      <c r="B3837">
        <v>34.003757399999998</v>
      </c>
      <c r="C3837">
        <v>-118.4891334</v>
      </c>
      <c r="D3837" t="s">
        <v>5</v>
      </c>
    </row>
    <row r="3838" spans="1:4" x14ac:dyDescent="0.45">
      <c r="A3838" t="s">
        <v>3840</v>
      </c>
      <c r="B3838">
        <v>34.006298999999999</v>
      </c>
      <c r="C3838">
        <v>-118.488561</v>
      </c>
      <c r="D3838" t="str">
        <f>HYPERLINK("https://streetviewpixels-pa.googleapis.com/v1/thumbnail?panoid=lRcwAzuvxSn16O6QfmBWgg&amp;cb_client=search.gws-prod.gps&amp;w=408&amp;h=240&amp;yaw=225.85228&amp;pitch=0&amp;thumbfov=100", "link")</f>
        <v>link</v>
      </c>
    </row>
    <row r="3839" spans="1:4" x14ac:dyDescent="0.45">
      <c r="A3839" t="s">
        <v>3841</v>
      </c>
      <c r="B3839">
        <v>34.006084399999999</v>
      </c>
      <c r="C3839">
        <v>-118.48735430000001</v>
      </c>
      <c r="D3839" t="s">
        <v>5</v>
      </c>
    </row>
    <row r="3840" spans="1:4" x14ac:dyDescent="0.45">
      <c r="A3840" t="s">
        <v>3842</v>
      </c>
      <c r="B3840">
        <v>34.0059331</v>
      </c>
      <c r="C3840">
        <v>-118.4872403</v>
      </c>
      <c r="D3840" t="s">
        <v>5</v>
      </c>
    </row>
    <row r="3841" spans="1:4" x14ac:dyDescent="0.45">
      <c r="A3841" t="s">
        <v>3843</v>
      </c>
      <c r="B3841">
        <v>34.004290899999901</v>
      </c>
      <c r="C3841">
        <v>-118.48695530000001</v>
      </c>
      <c r="D3841" t="str">
        <f>HYPERLINK("https://streetviewpixels-pa.googleapis.com/v1/thumbnail?panoid=U-h2w8-mGYak2kyuITAZAA&amp;cb_client=search.gws-prod.gps&amp;w=408&amp;h=240&amp;yaw=130.09706&amp;pitch=0&amp;thumbfov=100", "link")</f>
        <v>link</v>
      </c>
    </row>
    <row r="3842" spans="1:4" x14ac:dyDescent="0.45">
      <c r="A3842" t="s">
        <v>3844</v>
      </c>
      <c r="B3842">
        <v>34.004622599999998</v>
      </c>
      <c r="C3842">
        <v>-118.4868069</v>
      </c>
      <c r="D3842" t="s">
        <v>5</v>
      </c>
    </row>
    <row r="3843" spans="1:4" x14ac:dyDescent="0.45">
      <c r="A3843" t="s">
        <v>3845</v>
      </c>
      <c r="B3843">
        <v>34.004594500000003</v>
      </c>
      <c r="C3843">
        <v>-118.48680709999999</v>
      </c>
      <c r="D3843" t="s">
        <v>5</v>
      </c>
    </row>
    <row r="3844" spans="1:4" x14ac:dyDescent="0.45">
      <c r="A3844" t="s">
        <v>3846</v>
      </c>
      <c r="B3844">
        <v>34.002536300000003</v>
      </c>
      <c r="C3844">
        <v>-118.4879473</v>
      </c>
      <c r="D3844" t="s">
        <v>5</v>
      </c>
    </row>
    <row r="3845" spans="1:4" x14ac:dyDescent="0.45">
      <c r="A3845" t="s">
        <v>3847</v>
      </c>
      <c r="B3845">
        <v>34.007698900000001</v>
      </c>
      <c r="C3845">
        <v>-118.4890422</v>
      </c>
      <c r="D3845" t="s">
        <v>5</v>
      </c>
    </row>
    <row r="3846" spans="1:4" x14ac:dyDescent="0.45">
      <c r="A3846" t="s">
        <v>3848</v>
      </c>
      <c r="B3846">
        <v>34.0081743</v>
      </c>
      <c r="C3846">
        <v>-118.48884820000001</v>
      </c>
      <c r="D3846" t="s">
        <v>5</v>
      </c>
    </row>
    <row r="3847" spans="1:4" x14ac:dyDescent="0.45">
      <c r="A3847" t="s">
        <v>3849</v>
      </c>
      <c r="B3847">
        <v>34.0081962</v>
      </c>
      <c r="C3847">
        <v>-118.4888141</v>
      </c>
      <c r="D3847" t="s">
        <v>5</v>
      </c>
    </row>
    <row r="3848" spans="1:4" x14ac:dyDescent="0.45">
      <c r="A3848" t="s">
        <v>3850</v>
      </c>
      <c r="B3848">
        <v>34.014094200000002</v>
      </c>
      <c r="C3848">
        <v>-118.497422</v>
      </c>
      <c r="D3848" t="str">
        <f>HYPERLINK("https://streetviewpixels-pa.googleapis.com/v1/thumbnail?panoid=nXc9qrSumXZUN-uU7TwgWg&amp;cb_client=search.gws-prod.gps&amp;w=408&amp;h=240&amp;yaw=53.538513&amp;pitch=0&amp;thumbfov=100", "link")</f>
        <v>link</v>
      </c>
    </row>
    <row r="3849" spans="1:4" x14ac:dyDescent="0.45">
      <c r="A3849" t="s">
        <v>3851</v>
      </c>
      <c r="B3849">
        <v>34.014320400000003</v>
      </c>
      <c r="C3849">
        <v>-118.49749009999999</v>
      </c>
      <c r="D3849" t="str">
        <f>HYPERLINK("https://streetviewpixels-pa.googleapis.com/v1/thumbnail?panoid=nXc9qrSumXZUN-uU7TwgWg&amp;cb_client=search.gws-prod.gps&amp;w=408&amp;h=240&amp;yaw=53.538513&amp;pitch=0&amp;thumbfov=100", "link")</f>
        <v>link</v>
      </c>
    </row>
    <row r="3850" spans="1:4" x14ac:dyDescent="0.45">
      <c r="A3850" t="s">
        <v>3852</v>
      </c>
      <c r="B3850">
        <v>34.014678600000003</v>
      </c>
      <c r="C3850">
        <v>-118.4981657</v>
      </c>
      <c r="D3850" t="s">
        <v>5</v>
      </c>
    </row>
    <row r="3851" spans="1:4" x14ac:dyDescent="0.45">
      <c r="A3851" t="s">
        <v>3853</v>
      </c>
      <c r="B3851">
        <v>34.014729299999999</v>
      </c>
      <c r="C3851">
        <v>-118.4981631</v>
      </c>
      <c r="D3851" t="s">
        <v>5</v>
      </c>
    </row>
    <row r="3852" spans="1:4" x14ac:dyDescent="0.45">
      <c r="A3852" t="s">
        <v>3854</v>
      </c>
      <c r="B3852">
        <v>34.014908800000001</v>
      </c>
      <c r="C3852">
        <v>-118.4976514</v>
      </c>
      <c r="D3852" t="s">
        <v>5</v>
      </c>
    </row>
    <row r="3853" spans="1:4" x14ac:dyDescent="0.45">
      <c r="A3853" t="s">
        <v>3855</v>
      </c>
      <c r="B3853">
        <v>34.014976400000002</v>
      </c>
      <c r="C3853">
        <v>-118.4976183</v>
      </c>
      <c r="D3853" t="s">
        <v>5</v>
      </c>
    </row>
    <row r="3854" spans="1:4" x14ac:dyDescent="0.45">
      <c r="A3854" t="s">
        <v>3856</v>
      </c>
      <c r="B3854">
        <v>34.017810799999999</v>
      </c>
      <c r="C3854">
        <v>-118.49726149999999</v>
      </c>
      <c r="D3854" t="s">
        <v>5</v>
      </c>
    </row>
    <row r="3855" spans="1:4" x14ac:dyDescent="0.45">
      <c r="A3855" t="s">
        <v>3857</v>
      </c>
      <c r="B3855">
        <v>34.017018499999999</v>
      </c>
      <c r="C3855">
        <v>-118.4974383</v>
      </c>
      <c r="D3855" t="str">
        <f>HYPERLINK("https://streetviewpixels-pa.googleapis.com/v1/thumbnail?panoid=0YWHYU9HUmPbuCNWs4h12A&amp;cb_client=search.gws-prod.gps&amp;w=408&amp;h=240&amp;yaw=98.24567&amp;pitch=0&amp;thumbfov=100", "link")</f>
        <v>link</v>
      </c>
    </row>
    <row r="3856" spans="1:4" x14ac:dyDescent="0.45">
      <c r="A3856" t="s">
        <v>3858</v>
      </c>
      <c r="B3856">
        <v>34.015556699999998</v>
      </c>
      <c r="C3856">
        <v>-118.4966199</v>
      </c>
      <c r="D3856" t="str">
        <f>HYPERLINK("https://streetviewpixels-pa.googleapis.com/v1/thumbnail?panoid=UuBNa5mqAjKPy_0V1VPluA&amp;cb_client=search.gws-prod.gps&amp;w=408&amp;h=240&amp;yaw=256.58267&amp;pitch=0&amp;thumbfov=100", "link")</f>
        <v>link</v>
      </c>
    </row>
    <row r="3857" spans="1:4" x14ac:dyDescent="0.45">
      <c r="A3857" t="s">
        <v>3859</v>
      </c>
      <c r="B3857">
        <v>34.018760399999998</v>
      </c>
      <c r="C3857">
        <v>-118.49261749999999</v>
      </c>
      <c r="D3857" t="str">
        <f>HYPERLINK("https://lh5.googleusercontent.com/p/AF1QipM3-S9LZHcPaoaTShsFQZH6-qnNisrozCN2_CHD=w426-h240-k-no", "link")</f>
        <v>link</v>
      </c>
    </row>
    <row r="3858" spans="1:4" x14ac:dyDescent="0.45">
      <c r="A3858" t="s">
        <v>3860</v>
      </c>
      <c r="B3858">
        <v>34.0194008</v>
      </c>
      <c r="C3858">
        <v>-118.4937017</v>
      </c>
      <c r="D3858" t="str">
        <f>HYPERLINK("https://streetviewpixels-pa.googleapis.com/v1/thumbnail?panoid=uyWp8VGhsUBdYyNrqBc_aw&amp;cb_client=search.gws-prod.gps&amp;w=408&amp;h=240&amp;yaw=48.657093&amp;pitch=0&amp;thumbfov=100", "link")</f>
        <v>link</v>
      </c>
    </row>
    <row r="3859" spans="1:4" x14ac:dyDescent="0.45">
      <c r="A3859" t="s">
        <v>3861</v>
      </c>
      <c r="B3859">
        <v>34.018163100000002</v>
      </c>
      <c r="C3859">
        <v>-118.497429</v>
      </c>
      <c r="D3859" t="str">
        <f>HYPERLINK("https://lh5.googleusercontent.com/p/AF1QipOrjBwf85QVTKx-jIQCX2bskuPQ6qibcNHnauKK=w408-h306-k-no", "link")</f>
        <v>link</v>
      </c>
    </row>
    <row r="3860" spans="1:4" x14ac:dyDescent="0.45">
      <c r="A3860" t="s">
        <v>3862</v>
      </c>
      <c r="B3860">
        <v>34.017687899999999</v>
      </c>
      <c r="C3860">
        <v>-118.4976209</v>
      </c>
      <c r="D3860" t="str">
        <f>HYPERLINK("https://streetviewpixels-pa.googleapis.com/v1/thumbnail?panoid=gFKAFCcM6AxjevVd1wy_jA&amp;cb_client=search.gws-prod.gps&amp;w=408&amp;h=240&amp;yaw=241.33405&amp;pitch=0&amp;thumbfov=100", "link")</f>
        <v>link</v>
      </c>
    </row>
    <row r="3861" spans="1:4" x14ac:dyDescent="0.45">
      <c r="A3861" t="s">
        <v>3863</v>
      </c>
      <c r="B3861">
        <v>34.016147699999998</v>
      </c>
      <c r="C3861">
        <v>-118.49174189999999</v>
      </c>
      <c r="D3861" t="str">
        <f>HYPERLINK("https://lh5.googleusercontent.com/p/AF1QipPlOTuqxR-hiLgt7CUvGMwL8iwiz5sq7F_AAHhN=w408-h306-k-no", "link")</f>
        <v>link</v>
      </c>
    </row>
    <row r="3862" spans="1:4" x14ac:dyDescent="0.45">
      <c r="A3862" t="s">
        <v>3864</v>
      </c>
      <c r="B3862">
        <v>34.019617799999999</v>
      </c>
      <c r="C3862">
        <v>-118.4964427</v>
      </c>
      <c r="D3862" t="str">
        <f>HYPERLINK("https://streetviewpixels-pa.googleapis.com/v1/thumbnail?panoid=AmrWaB5QNu6hkwJvnCR5Pw&amp;cb_client=search.gws-prod.gps&amp;w=408&amp;h=240&amp;yaw=246.51984&amp;pitch=0&amp;thumbfov=100", "link")</f>
        <v>link</v>
      </c>
    </row>
    <row r="3863" spans="1:4" x14ac:dyDescent="0.45">
      <c r="A3863" t="s">
        <v>3865</v>
      </c>
      <c r="B3863">
        <v>34.019378400000001</v>
      </c>
      <c r="C3863">
        <v>-118.4925617</v>
      </c>
      <c r="D3863" t="str">
        <f>HYPERLINK("https://streetviewpixels-pa.googleapis.com/v1/thumbnail?panoid=xeRIFJis-WGeB2ieGD0jbg&amp;cb_client=search.gws-prod.gps&amp;w=408&amp;h=240&amp;yaw=257.11746&amp;pitch=0&amp;thumbfov=100", "link")</f>
        <v>link</v>
      </c>
    </row>
    <row r="3864" spans="1:4" x14ac:dyDescent="0.45">
      <c r="A3864" t="s">
        <v>3866</v>
      </c>
      <c r="B3864">
        <v>34.017200000000003</v>
      </c>
      <c r="C3864">
        <v>-118.4947614</v>
      </c>
      <c r="D3864" t="str">
        <f>HYPERLINK("https://streetviewpixels-pa.googleapis.com/v1/thumbnail?panoid=xg4veHP9q1oCenXNIHtQ-A&amp;cb_client=search.gws-prod.gps&amp;w=408&amp;h=240&amp;yaw=218.73878&amp;pitch=0&amp;thumbfov=100", "link")</f>
        <v>link</v>
      </c>
    </row>
    <row r="3865" spans="1:4" x14ac:dyDescent="0.45">
      <c r="A3865" t="s">
        <v>3867</v>
      </c>
      <c r="B3865">
        <v>34.016762700000001</v>
      </c>
      <c r="C3865">
        <v>-118.49433519999999</v>
      </c>
      <c r="D3865" t="str">
        <f>HYPERLINK("https://streetviewpixels-pa.googleapis.com/v1/thumbnail?panoid=OAx4GQcLoaY5lvhSNpOPnA&amp;cb_client=search.gws-prod.gps&amp;w=408&amp;h=240&amp;yaw=54.812763&amp;pitch=0&amp;thumbfov=100", "link")</f>
        <v>link</v>
      </c>
    </row>
    <row r="3866" spans="1:4" x14ac:dyDescent="0.45">
      <c r="A3866" t="s">
        <v>3868</v>
      </c>
      <c r="B3866">
        <v>34.017699200000003</v>
      </c>
      <c r="C3866">
        <v>-118.495328</v>
      </c>
      <c r="D3866" t="str">
        <f>HYPERLINK("https://streetviewpixels-pa.googleapis.com/v1/thumbnail?panoid=F1EP1CI9Ylqv9B14D1kVjQ&amp;cb_client=search.gws-prod.gps&amp;w=408&amp;h=240&amp;yaw=228.51143&amp;pitch=0&amp;thumbfov=100", "link")</f>
        <v>link</v>
      </c>
    </row>
    <row r="3867" spans="1:4" x14ac:dyDescent="0.45">
      <c r="A3867" t="s">
        <v>3869</v>
      </c>
      <c r="B3867">
        <v>34.017913700000001</v>
      </c>
      <c r="C3867">
        <v>-118.4945896</v>
      </c>
      <c r="D3867" t="str">
        <f>HYPERLINK("https://streetviewpixels-pa.googleapis.com/v1/thumbnail?panoid=3nyHMmKtKe-frksoROlNpA&amp;cb_client=search.gws-prod.gps&amp;w=408&amp;h=240&amp;yaw=58.393494&amp;pitch=0&amp;thumbfov=100", "link")</f>
        <v>link</v>
      </c>
    </row>
    <row r="3868" spans="1:4" x14ac:dyDescent="0.45">
      <c r="A3868" t="s">
        <v>3870</v>
      </c>
      <c r="B3868">
        <v>34.017657200000002</v>
      </c>
      <c r="C3868">
        <v>-118.49404079999999</v>
      </c>
      <c r="D3868" t="str">
        <f>HYPERLINK("https://streetviewpixels-pa.googleapis.com/v1/thumbnail?panoid=u-u4xN2x9V2DBpMCd-jKOA&amp;cb_client=search.gws-prod.gps&amp;w=408&amp;h=240&amp;yaw=40.46277&amp;pitch=0&amp;thumbfov=100", "link")</f>
        <v>link</v>
      </c>
    </row>
    <row r="3869" spans="1:4" x14ac:dyDescent="0.45">
      <c r="A3869" t="s">
        <v>3871</v>
      </c>
      <c r="B3869">
        <v>34.017922599999999</v>
      </c>
      <c r="C3869">
        <v>-118.4944898</v>
      </c>
      <c r="D3869" t="str">
        <f>HYPERLINK("https://streetviewpixels-pa.googleapis.com/v1/thumbnail?panoid=3nyHMmKtKe-frksoROlNpA&amp;cb_client=search.gws-prod.gps&amp;w=408&amp;h=240&amp;yaw=58.393494&amp;pitch=0&amp;thumbfov=100", "link")</f>
        <v>link</v>
      </c>
    </row>
    <row r="3870" spans="1:4" x14ac:dyDescent="0.45">
      <c r="A3870" t="s">
        <v>3872</v>
      </c>
      <c r="B3870">
        <v>34.017428000000002</v>
      </c>
      <c r="C3870">
        <v>-118.495807</v>
      </c>
      <c r="D3870" t="str">
        <f>HYPERLINK("https://streetviewpixels-pa.googleapis.com/v1/thumbnail?panoid=4jN1xAMa0vPEzIUpIZt34A&amp;cb_client=search.gws-prod.gps&amp;w=408&amp;h=240&amp;yaw=46.96639&amp;pitch=0&amp;thumbfov=100", "link")</f>
        <v>link</v>
      </c>
    </row>
    <row r="3871" spans="1:4" x14ac:dyDescent="0.45">
      <c r="A3871" t="s">
        <v>3873</v>
      </c>
      <c r="B3871">
        <v>34.016966099999998</v>
      </c>
      <c r="C3871">
        <v>-118.4936907</v>
      </c>
      <c r="D3871" t="str">
        <f>HYPERLINK("https://streetviewpixels-pa.googleapis.com/v1/thumbnail?panoid=5v8pWGR7n-1MmN6nTJ6mYw&amp;cb_client=search.gws-prod.gps&amp;w=408&amp;h=240&amp;yaw=56.806847&amp;pitch=0&amp;thumbfov=100", "link")</f>
        <v>link</v>
      </c>
    </row>
    <row r="3872" spans="1:4" x14ac:dyDescent="0.45">
      <c r="A3872" t="s">
        <v>3874</v>
      </c>
      <c r="B3872">
        <v>34.017880400000003</v>
      </c>
      <c r="C3872">
        <v>-118.4956111</v>
      </c>
      <c r="D3872" t="s">
        <v>5</v>
      </c>
    </row>
    <row r="3873" spans="1:4" x14ac:dyDescent="0.45">
      <c r="A3873" t="s">
        <v>3875</v>
      </c>
      <c r="B3873">
        <v>34.018191600000002</v>
      </c>
      <c r="C3873">
        <v>-118.4949464</v>
      </c>
      <c r="D3873" t="s">
        <v>5</v>
      </c>
    </row>
    <row r="3874" spans="1:4" x14ac:dyDescent="0.45">
      <c r="A3874" t="s">
        <v>3876</v>
      </c>
      <c r="B3874">
        <v>34.016441999999998</v>
      </c>
      <c r="C3874">
        <v>-118.4955767</v>
      </c>
      <c r="D3874" t="str">
        <f>HYPERLINK("https://streetviewpixels-pa.googleapis.com/v1/thumbnail?panoid=cg1LXb2XT2ycUcIk3NGH1A&amp;cb_client=search.gws-prod.gps&amp;w=408&amp;h=240&amp;yaw=143.48619&amp;pitch=0&amp;thumbfov=100", "link")</f>
        <v>link</v>
      </c>
    </row>
    <row r="3875" spans="1:4" x14ac:dyDescent="0.45">
      <c r="A3875" t="s">
        <v>3877</v>
      </c>
      <c r="B3875">
        <v>34.016190799999997</v>
      </c>
      <c r="C3875">
        <v>-118.4952612</v>
      </c>
      <c r="D3875" t="str">
        <f>HYPERLINK("https://streetviewpixels-pa.googleapis.com/v1/thumbnail?panoid=SdxH07e-5G1AWB22iCtbvw&amp;cb_client=search.gws-prod.gps&amp;w=408&amp;h=240&amp;yaw=129.6506&amp;pitch=0&amp;thumbfov=100", "link")</f>
        <v>link</v>
      </c>
    </row>
    <row r="3876" spans="1:4" x14ac:dyDescent="0.45">
      <c r="A3876" t="s">
        <v>3878</v>
      </c>
      <c r="B3876">
        <v>34.017063599999901</v>
      </c>
      <c r="C3876">
        <v>-118.4961272</v>
      </c>
      <c r="D3876" t="str">
        <f>HYPERLINK("https://streetviewpixels-pa.googleapis.com/v1/thumbnail?panoid=cg1LXb2XT2ycUcIk3NGH1A&amp;cb_client=search.gws-prod.gps&amp;w=408&amp;h=240&amp;yaw=143.48619&amp;pitch=0&amp;thumbfov=100", "link")</f>
        <v>link</v>
      </c>
    </row>
    <row r="3877" spans="1:4" x14ac:dyDescent="0.45">
      <c r="A3877" t="s">
        <v>3879</v>
      </c>
      <c r="B3877">
        <v>34.016783099999998</v>
      </c>
      <c r="C3877">
        <v>-118.49615850000001</v>
      </c>
      <c r="D3877" t="str">
        <f>HYPERLINK("https://streetviewpixels-pa.googleapis.com/v1/thumbnail?panoid=cg1LXb2XT2ycUcIk3NGH1A&amp;cb_client=search.gws-prod.gps&amp;w=408&amp;h=240&amp;yaw=143.48619&amp;pitch=0&amp;thumbfov=100", "link")</f>
        <v>link</v>
      </c>
    </row>
    <row r="3878" spans="1:4" x14ac:dyDescent="0.45">
      <c r="A3878" t="s">
        <v>3880</v>
      </c>
      <c r="B3878">
        <v>34.017092399999903</v>
      </c>
      <c r="C3878">
        <v>-118.49637130000001</v>
      </c>
      <c r="D3878" t="str">
        <f>HYPERLINK("https://streetviewpixels-pa.googleapis.com/v1/thumbnail?panoid=cg1LXb2XT2ycUcIk3NGH1A&amp;cb_client=search.gws-prod.gps&amp;w=408&amp;h=240&amp;yaw=143.48619&amp;pitch=0&amp;thumbfov=100", "link")</f>
        <v>link</v>
      </c>
    </row>
    <row r="3879" spans="1:4" x14ac:dyDescent="0.45">
      <c r="A3879" t="s">
        <v>3881</v>
      </c>
      <c r="B3879">
        <v>34.016384899999998</v>
      </c>
      <c r="C3879">
        <v>-118.4960983</v>
      </c>
      <c r="D3879" t="str">
        <f>HYPERLINK("https://streetviewpixels-pa.googleapis.com/v1/thumbnail?panoid=EWUgBfZOZ2Weh8yW_I3hCw&amp;cb_client=search.gws-prod.gps&amp;w=408&amp;h=240&amp;yaw=265.0892&amp;pitch=0&amp;thumbfov=100", "link")</f>
        <v>link</v>
      </c>
    </row>
    <row r="3880" spans="1:4" x14ac:dyDescent="0.45">
      <c r="A3880" t="s">
        <v>3882</v>
      </c>
      <c r="B3880">
        <v>34.016058999999998</v>
      </c>
      <c r="C3880">
        <v>-118.4958421</v>
      </c>
      <c r="D3880" t="str">
        <f>HYPERLINK("https://streetviewpixels-pa.googleapis.com/v1/thumbnail?panoid=eddBUWKiRZeXmfKa9UZisA&amp;cb_client=search.gws-prod.gps&amp;w=408&amp;h=240&amp;yaw=325.75076&amp;pitch=0&amp;thumbfov=100", "link")</f>
        <v>link</v>
      </c>
    </row>
    <row r="3881" spans="1:4" x14ac:dyDescent="0.45">
      <c r="A3881" t="s">
        <v>3883</v>
      </c>
      <c r="B3881">
        <v>34.018530499999997</v>
      </c>
      <c r="C3881">
        <v>-118.4933592</v>
      </c>
      <c r="D3881" t="str">
        <f>HYPERLINK("https://streetviewpixels-pa.googleapis.com/v1/thumbnail?panoid=hMRvSSAOh1UYjlfqYHsRcw&amp;cb_client=search.gws-prod.gps&amp;w=408&amp;h=240&amp;yaw=313.56436&amp;pitch=0&amp;thumbfov=100", "link")</f>
        <v>link</v>
      </c>
    </row>
    <row r="3882" spans="1:4" x14ac:dyDescent="0.45">
      <c r="A3882" t="s">
        <v>3884</v>
      </c>
      <c r="B3882">
        <v>34.016071199999999</v>
      </c>
      <c r="C3882">
        <v>-118.4980982</v>
      </c>
      <c r="D3882" t="str">
        <f>HYPERLINK("https://streetviewpixels-pa.googleapis.com/v1/thumbnail?panoid=coClkjp1rxM01sJuuifLoQ&amp;cb_client=search.gws-prod.gps&amp;w=408&amp;h=240&amp;yaw=35.40664&amp;pitch=0&amp;thumbfov=100", "link")</f>
        <v>link</v>
      </c>
    </row>
    <row r="3883" spans="1:4" x14ac:dyDescent="0.45">
      <c r="A3883" t="s">
        <v>3885</v>
      </c>
      <c r="B3883">
        <v>34.015832799999998</v>
      </c>
      <c r="C3883">
        <v>-118.4979728</v>
      </c>
      <c r="D3883" t="str">
        <f>HYPERLINK("https://streetviewpixels-pa.googleapis.com/v1/thumbnail?panoid=S7LqxRRECsb585kx9iNE1g&amp;cb_client=search.gws-prod.gps&amp;w=408&amp;h=240&amp;yaw=6.650645&amp;pitch=0&amp;thumbfov=100", "link")</f>
        <v>link</v>
      </c>
    </row>
    <row r="3884" spans="1:4" x14ac:dyDescent="0.45">
      <c r="A3884" t="s">
        <v>3886</v>
      </c>
      <c r="B3884">
        <v>34.013527799999999</v>
      </c>
      <c r="C3884">
        <v>-118.4868525</v>
      </c>
      <c r="D3884" t="s">
        <v>5</v>
      </c>
    </row>
    <row r="3885" spans="1:4" x14ac:dyDescent="0.45">
      <c r="A3885" t="s">
        <v>3887</v>
      </c>
      <c r="B3885">
        <v>34.011436199999999</v>
      </c>
      <c r="C3885">
        <v>-118.48979629999999</v>
      </c>
      <c r="D3885" t="str">
        <f>HYPERLINK("https://streetviewpixels-pa.googleapis.com/v1/thumbnail?panoid=A0imW2nwwiogZCGjC44PGQ&amp;cb_client=search.gws-prod.gps&amp;w=408&amp;h=240&amp;yaw=55.492004&amp;pitch=0&amp;thumbfov=100", "link")</f>
        <v>link</v>
      </c>
    </row>
    <row r="3886" spans="1:4" x14ac:dyDescent="0.45">
      <c r="A3886" t="s">
        <v>3888</v>
      </c>
      <c r="B3886">
        <v>34.011623799999903</v>
      </c>
      <c r="C3886">
        <v>-118.4900155</v>
      </c>
      <c r="D3886" t="str">
        <f>HYPERLINK("https://streetviewpixels-pa.googleapis.com/v1/thumbnail?panoid=A0imW2nwwiogZCGjC44PGQ&amp;cb_client=search.gws-prod.gps&amp;w=408&amp;h=240&amp;yaw=55.492004&amp;pitch=0&amp;thumbfov=100", "link")</f>
        <v>link</v>
      </c>
    </row>
    <row r="3887" spans="1:4" x14ac:dyDescent="0.45">
      <c r="A3887" t="s">
        <v>3889</v>
      </c>
      <c r="B3887">
        <v>34.001238700000002</v>
      </c>
      <c r="C3887">
        <v>-118.4835679</v>
      </c>
      <c r="D3887" t="s">
        <v>5</v>
      </c>
    </row>
    <row r="3888" spans="1:4" x14ac:dyDescent="0.45">
      <c r="A3888" t="s">
        <v>3890</v>
      </c>
      <c r="B3888">
        <v>34.000347299999902</v>
      </c>
      <c r="C3888">
        <v>-118.4861896</v>
      </c>
      <c r="D3888" t="s">
        <v>5</v>
      </c>
    </row>
    <row r="3889" spans="1:4" x14ac:dyDescent="0.45">
      <c r="A3889" t="s">
        <v>3891</v>
      </c>
      <c r="B3889">
        <v>34.000937599999901</v>
      </c>
      <c r="C3889">
        <v>-118.4831956</v>
      </c>
      <c r="D3889" t="s">
        <v>5</v>
      </c>
    </row>
    <row r="3890" spans="1:4" x14ac:dyDescent="0.45">
      <c r="A3890" t="s">
        <v>3892</v>
      </c>
      <c r="B3890">
        <v>34.000552999999996</v>
      </c>
      <c r="C3890">
        <v>-118.48375040000001</v>
      </c>
      <c r="D3890" t="s">
        <v>5</v>
      </c>
    </row>
    <row r="3891" spans="1:4" x14ac:dyDescent="0.45">
      <c r="A3891" t="s">
        <v>3893</v>
      </c>
      <c r="B3891">
        <v>34.000970899999999</v>
      </c>
      <c r="C3891">
        <v>-118.48288359999999</v>
      </c>
      <c r="D3891" t="s">
        <v>5</v>
      </c>
    </row>
    <row r="3892" spans="1:4" x14ac:dyDescent="0.45">
      <c r="A3892" t="s">
        <v>3894</v>
      </c>
      <c r="B3892">
        <v>33.999800700000002</v>
      </c>
      <c r="C3892">
        <v>-118.48554849999999</v>
      </c>
      <c r="D3892" t="str">
        <f>HYPERLINK("https://lh5.googleusercontent.com/p/AF1QipNQy1RAQ5btcbQAOA30psYCRPFK6_1plQ64SFka=w426-h240-k-no", "link")</f>
        <v>link</v>
      </c>
    </row>
    <row r="3893" spans="1:4" x14ac:dyDescent="0.45">
      <c r="A3893" t="s">
        <v>3895</v>
      </c>
      <c r="B3893">
        <v>34.005930499999998</v>
      </c>
      <c r="C3893">
        <v>-118.48168320000001</v>
      </c>
      <c r="D3893" t="s">
        <v>5</v>
      </c>
    </row>
    <row r="3894" spans="1:4" x14ac:dyDescent="0.45">
      <c r="A3894" t="s">
        <v>3896</v>
      </c>
      <c r="B3894">
        <v>33.999147999999998</v>
      </c>
      <c r="C3894">
        <v>-118.48513079999999</v>
      </c>
      <c r="D3894" t="str">
        <f>HYPERLINK("https://streetviewpixels-pa.googleapis.com/v1/thumbnail?panoid=QsTP_s-Vl8EXAxfh4o2e6Q&amp;cb_client=search.gws-prod.gps&amp;w=408&amp;h=240&amp;yaw=27.083418&amp;pitch=0&amp;thumbfov=100", "link")</f>
        <v>link</v>
      </c>
    </row>
    <row r="3895" spans="1:4" x14ac:dyDescent="0.45">
      <c r="A3895" t="s">
        <v>3897</v>
      </c>
      <c r="B3895">
        <v>33.999119200000003</v>
      </c>
      <c r="C3895">
        <v>-118.4849861</v>
      </c>
      <c r="D3895" t="str">
        <f>HYPERLINK("https://lh5.googleusercontent.com/p/AF1QipMLbStJemxG28aJCMxwFSv-6QpEWTilbS8KV5lB=w408-h906-k-no", "link")</f>
        <v>link</v>
      </c>
    </row>
    <row r="3896" spans="1:4" x14ac:dyDescent="0.45">
      <c r="A3896" t="s">
        <v>3898</v>
      </c>
      <c r="B3896">
        <v>33.999988899999998</v>
      </c>
      <c r="C3896">
        <v>-118.4823361</v>
      </c>
      <c r="D3896" t="s">
        <v>5</v>
      </c>
    </row>
    <row r="3897" spans="1:4" x14ac:dyDescent="0.45">
      <c r="A3897" t="s">
        <v>3899</v>
      </c>
      <c r="B3897">
        <v>34.0000207</v>
      </c>
      <c r="C3897">
        <v>-118.4819589</v>
      </c>
      <c r="D3897" t="s">
        <v>5</v>
      </c>
    </row>
    <row r="3898" spans="1:4" x14ac:dyDescent="0.45">
      <c r="A3898" t="s">
        <v>3900</v>
      </c>
      <c r="B3898">
        <v>34.001761600000002</v>
      </c>
      <c r="C3898">
        <v>-118.4843987</v>
      </c>
      <c r="D3898" t="str">
        <f>HYPERLINK("https://streetviewpixels-pa.googleapis.com/v1/thumbnail?panoid=EQhrdG20SFd7GPi4dFZK7Q&amp;cb_client=search.gws-prod.gps&amp;w=408&amp;h=240&amp;yaw=224.70453&amp;pitch=0&amp;thumbfov=100", "link")</f>
        <v>link</v>
      </c>
    </row>
    <row r="3899" spans="1:4" x14ac:dyDescent="0.45">
      <c r="A3899" t="s">
        <v>3901</v>
      </c>
      <c r="B3899">
        <v>34.001535500000003</v>
      </c>
      <c r="C3899">
        <v>-118.4838407</v>
      </c>
      <c r="D3899" t="s">
        <v>5</v>
      </c>
    </row>
    <row r="3900" spans="1:4" x14ac:dyDescent="0.45">
      <c r="A3900" t="s">
        <v>3902</v>
      </c>
      <c r="B3900">
        <v>34.002067699999998</v>
      </c>
      <c r="C3900">
        <v>-118.48297479999999</v>
      </c>
      <c r="D3900" t="s">
        <v>5</v>
      </c>
    </row>
    <row r="3901" spans="1:4" x14ac:dyDescent="0.45">
      <c r="A3901" t="s">
        <v>3903</v>
      </c>
      <c r="B3901">
        <v>34.000102800000001</v>
      </c>
      <c r="C3901">
        <v>-118.48131170000001</v>
      </c>
      <c r="D3901" t="s">
        <v>5</v>
      </c>
    </row>
    <row r="3902" spans="1:4" x14ac:dyDescent="0.45">
      <c r="A3902" t="s">
        <v>3904</v>
      </c>
      <c r="B3902">
        <v>33.999830299999999</v>
      </c>
      <c r="C3902">
        <v>-118.4810588</v>
      </c>
      <c r="D3902" t="str">
        <f>HYPERLINK("https://streetviewpixels-pa.googleapis.com/v1/thumbnail?panoid=MDmG9QzINfJQOtvtpq_Yog&amp;cb_client=search.gws-prod.gps&amp;w=408&amp;h=240&amp;yaw=46.406654&amp;pitch=0&amp;thumbfov=100", "link")</f>
        <v>link</v>
      </c>
    </row>
    <row r="3903" spans="1:4" x14ac:dyDescent="0.45">
      <c r="A3903" t="s">
        <v>3905</v>
      </c>
      <c r="B3903">
        <v>33.998071400000001</v>
      </c>
      <c r="C3903">
        <v>-118.4804201</v>
      </c>
      <c r="D3903" t="s">
        <v>5</v>
      </c>
    </row>
    <row r="3904" spans="1:4" x14ac:dyDescent="0.45">
      <c r="A3904" t="s">
        <v>3906</v>
      </c>
      <c r="B3904">
        <v>33.998056800000001</v>
      </c>
      <c r="C3904">
        <v>-118.4803771</v>
      </c>
      <c r="D3904" t="s">
        <v>5</v>
      </c>
    </row>
    <row r="3905" spans="1:4" x14ac:dyDescent="0.45">
      <c r="A3905" t="s">
        <v>3907</v>
      </c>
      <c r="B3905">
        <v>33.998021700000002</v>
      </c>
      <c r="C3905">
        <v>-118.4799378</v>
      </c>
      <c r="D3905" t="s">
        <v>5</v>
      </c>
    </row>
    <row r="3906" spans="1:4" x14ac:dyDescent="0.45">
      <c r="A3906" t="s">
        <v>3908</v>
      </c>
      <c r="B3906">
        <v>33.998049100000003</v>
      </c>
      <c r="C3906">
        <v>-118.47987259999999</v>
      </c>
      <c r="D3906" t="s">
        <v>5</v>
      </c>
    </row>
    <row r="3907" spans="1:4" x14ac:dyDescent="0.45">
      <c r="A3907" t="s">
        <v>3909</v>
      </c>
      <c r="B3907">
        <v>33.996196099999999</v>
      </c>
      <c r="C3907">
        <v>-118.4813039</v>
      </c>
      <c r="D3907" t="str">
        <f>HYPERLINK("https://streetviewpixels-pa.googleapis.com/v1/thumbnail?panoid=shBqxN7R2qa8yW9F2Qn9nQ&amp;cb_client=search.gws-prod.gps&amp;w=408&amp;h=240&amp;yaw=327.14197&amp;pitch=0&amp;thumbfov=100", "link")</f>
        <v>link</v>
      </c>
    </row>
    <row r="3908" spans="1:4" x14ac:dyDescent="0.45">
      <c r="A3908" t="s">
        <v>3910</v>
      </c>
      <c r="B3908">
        <v>33.997355300000002</v>
      </c>
      <c r="C3908">
        <v>-118.4795305</v>
      </c>
      <c r="D3908" t="s">
        <v>5</v>
      </c>
    </row>
    <row r="3909" spans="1:4" x14ac:dyDescent="0.45">
      <c r="A3909" t="s">
        <v>3911</v>
      </c>
      <c r="B3909">
        <v>33.9987809</v>
      </c>
      <c r="C3909">
        <v>-118.484754</v>
      </c>
      <c r="D3909" t="s">
        <v>5</v>
      </c>
    </row>
    <row r="3910" spans="1:4" x14ac:dyDescent="0.45">
      <c r="A3910" t="s">
        <v>3912</v>
      </c>
      <c r="B3910">
        <v>33.998297800000003</v>
      </c>
      <c r="C3910">
        <v>-118.4842111</v>
      </c>
      <c r="D3910" t="str">
        <f>HYPERLINK("https://streetviewpixels-pa.googleapis.com/v1/thumbnail?panoid=Fl7JHUqxIVBlx7j0K5s_AA&amp;cb_client=search.gws-prod.gps&amp;w=408&amp;h=240&amp;yaw=29.915756&amp;pitch=0&amp;thumbfov=100", "link")</f>
        <v>link</v>
      </c>
    </row>
    <row r="3911" spans="1:4" x14ac:dyDescent="0.45">
      <c r="A3911" t="s">
        <v>3913</v>
      </c>
      <c r="B3911">
        <v>33.999727700000001</v>
      </c>
      <c r="C3911">
        <v>-118.4820553</v>
      </c>
      <c r="D3911" t="s">
        <v>5</v>
      </c>
    </row>
    <row r="3912" spans="1:4" x14ac:dyDescent="0.45">
      <c r="A3912" t="s">
        <v>3914</v>
      </c>
      <c r="B3912">
        <v>34.0000237</v>
      </c>
      <c r="C3912">
        <v>-118.4818799</v>
      </c>
      <c r="D3912" t="s">
        <v>5</v>
      </c>
    </row>
    <row r="3913" spans="1:4" x14ac:dyDescent="0.45">
      <c r="A3913" t="s">
        <v>3915</v>
      </c>
      <c r="B3913">
        <v>33.999268000000001</v>
      </c>
      <c r="C3913">
        <v>-118.481674</v>
      </c>
      <c r="D3913" t="s">
        <v>5</v>
      </c>
    </row>
    <row r="3914" spans="1:4" x14ac:dyDescent="0.45">
      <c r="A3914" t="s">
        <v>3916</v>
      </c>
      <c r="B3914">
        <v>34.032105299999998</v>
      </c>
      <c r="C3914">
        <v>-118.4835679</v>
      </c>
      <c r="D3914" t="s">
        <v>5</v>
      </c>
    </row>
    <row r="3915" spans="1:4" x14ac:dyDescent="0.45">
      <c r="A3915" t="s">
        <v>3917</v>
      </c>
      <c r="B3915">
        <v>34.025113299999902</v>
      </c>
      <c r="C3915">
        <v>-118.4836767</v>
      </c>
      <c r="D3915" t="str">
        <f>HYPERLINK("https://streetviewpixels-pa.googleapis.com/v1/thumbnail?panoid=dP_mJQAK4w7Q2d8yEHsyNQ&amp;cb_client=search.gws-prod.gps&amp;w=408&amp;h=240&amp;yaw=218.58115&amp;pitch=0&amp;thumbfov=100", "link")</f>
        <v>link</v>
      </c>
    </row>
    <row r="3916" spans="1:4" x14ac:dyDescent="0.45">
      <c r="A3916" t="s">
        <v>3918</v>
      </c>
      <c r="B3916">
        <v>34.026124099999997</v>
      </c>
      <c r="C3916">
        <v>-118.4762731</v>
      </c>
      <c r="D3916" t="str">
        <f>HYPERLINK("https://streetviewpixels-pa.googleapis.com/v1/thumbnail?panoid=gO0w1r40owdReqWrsxxYdg&amp;cb_client=search.gws-prod.gps&amp;w=408&amp;h=240&amp;yaw=144.7662&amp;pitch=0&amp;thumbfov=100", "link")</f>
        <v>link</v>
      </c>
    </row>
    <row r="3917" spans="1:4" x14ac:dyDescent="0.45">
      <c r="A3917" t="s">
        <v>3919</v>
      </c>
      <c r="B3917">
        <v>34.0296295999999</v>
      </c>
      <c r="C3917">
        <v>-118.4754413</v>
      </c>
      <c r="D3917" t="str">
        <f>HYPERLINK("https://streetviewpixels-pa.googleapis.com/v1/thumbnail?panoid=OFLuZFbcwbqCaQHuBSCtuA&amp;cb_client=search.gws-prod.gps&amp;w=408&amp;h=240&amp;yaw=138.38152&amp;pitch=0&amp;thumbfov=100", "link")</f>
        <v>link</v>
      </c>
    </row>
    <row r="3918" spans="1:4" x14ac:dyDescent="0.45">
      <c r="A3918" t="s">
        <v>3920</v>
      </c>
      <c r="B3918">
        <v>34.026718799999998</v>
      </c>
      <c r="C3918">
        <v>-118.4854551</v>
      </c>
      <c r="D3918" t="str">
        <f>HYPERLINK("https://streetviewpixels-pa.googleapis.com/v1/thumbnail?panoid=Yne9iJFyCv_vSzgHahJUaA&amp;cb_client=search.gws-prod.gps&amp;w=408&amp;h=240&amp;yaw=0.99234116&amp;pitch=0&amp;thumbfov=100", "link")</f>
        <v>link</v>
      </c>
    </row>
    <row r="3919" spans="1:4" x14ac:dyDescent="0.45">
      <c r="A3919" t="s">
        <v>3921</v>
      </c>
      <c r="B3919">
        <v>34.025979100000001</v>
      </c>
      <c r="C3919">
        <v>-118.476238</v>
      </c>
      <c r="D3919" t="str">
        <f>HYPERLINK("https://streetviewpixels-pa.googleapis.com/v1/thumbnail?panoid=gO0w1r40owdReqWrsxxYdg&amp;cb_client=search.gws-prod.gps&amp;w=408&amp;h=240&amp;yaw=144.7662&amp;pitch=0&amp;thumbfov=100", "link")</f>
        <v>link</v>
      </c>
    </row>
    <row r="3920" spans="1:4" x14ac:dyDescent="0.45">
      <c r="A3920" t="s">
        <v>3922</v>
      </c>
      <c r="B3920">
        <v>34.027965399999999</v>
      </c>
      <c r="C3920">
        <v>-118.48620870000001</v>
      </c>
      <c r="D3920" t="str">
        <f>HYPERLINK("https://streetviewpixels-pa.googleapis.com/v1/thumbnail?panoid=bGG2Cv1VixWSuAoHEBHghw&amp;cb_client=search.gws-prod.gps&amp;w=408&amp;h=240&amp;yaw=39.138706&amp;pitch=0&amp;thumbfov=100", "link")</f>
        <v>link</v>
      </c>
    </row>
    <row r="3921" spans="1:4" x14ac:dyDescent="0.45">
      <c r="A3921" t="s">
        <v>3923</v>
      </c>
      <c r="B3921">
        <v>34.027019000000003</v>
      </c>
      <c r="C3921">
        <v>-118.475145</v>
      </c>
      <c r="D3921" t="s">
        <v>5</v>
      </c>
    </row>
    <row r="3922" spans="1:4" x14ac:dyDescent="0.45">
      <c r="A3922" t="s">
        <v>3924</v>
      </c>
      <c r="B3922">
        <v>34.023649499999998</v>
      </c>
      <c r="C3922">
        <v>-118.4786843</v>
      </c>
      <c r="D3922" t="str">
        <f>HYPERLINK("https://streetviewpixels-pa.googleapis.com/v1/thumbnail?panoid=5RZXjtqVlUc1c9l8GQU-nA&amp;cb_client=search.gws-prod.gps&amp;w=408&amp;h=240&amp;yaw=350.5109&amp;pitch=0&amp;thumbfov=100", "link")</f>
        <v>link</v>
      </c>
    </row>
    <row r="3923" spans="1:4" x14ac:dyDescent="0.45">
      <c r="A3923" t="s">
        <v>3925</v>
      </c>
      <c r="B3923">
        <v>34.026359300000003</v>
      </c>
      <c r="C3923">
        <v>-118.4868084</v>
      </c>
      <c r="D3923" t="str">
        <f>HYPERLINK("https://streetviewpixels-pa.googleapis.com/v1/thumbnail?panoid=lbmzimkP-tQeifRWfyyvwQ&amp;cb_client=search.gws-prod.gps&amp;w=408&amp;h=240&amp;yaw=277.44614&amp;pitch=0&amp;thumbfov=100", "link")</f>
        <v>link</v>
      </c>
    </row>
    <row r="3924" spans="1:4" x14ac:dyDescent="0.45">
      <c r="A3924" t="s">
        <v>3926</v>
      </c>
      <c r="B3924">
        <v>34.023000500000002</v>
      </c>
      <c r="C3924">
        <v>-118.47987259999999</v>
      </c>
      <c r="D3924" t="s">
        <v>5</v>
      </c>
    </row>
    <row r="3925" spans="1:4" x14ac:dyDescent="0.45">
      <c r="A3925" t="s">
        <v>3927</v>
      </c>
      <c r="B3925">
        <v>34.0270382</v>
      </c>
      <c r="C3925">
        <v>-118.4738969</v>
      </c>
      <c r="D3925" t="str">
        <f>HYPERLINK("https://streetviewpixels-pa.googleapis.com/v1/thumbnail?panoid=AYQ13FYraycQiW_LF1wQmg&amp;cb_client=search.gws-prod.gps&amp;w=408&amp;h=240&amp;yaw=202.53146&amp;pitch=0&amp;thumbfov=100", "link")</f>
        <v>link</v>
      </c>
    </row>
    <row r="3926" spans="1:4" x14ac:dyDescent="0.45">
      <c r="A3926" t="s">
        <v>3928</v>
      </c>
      <c r="B3926">
        <v>34.034515900000002</v>
      </c>
      <c r="C3926">
        <v>-118.4785952</v>
      </c>
      <c r="D3926" t="str">
        <f>HYPERLINK("https://streetviewpixels-pa.googleapis.com/v1/thumbnail?panoid=lOWkcRFGVsqeoTu7cH1eFQ&amp;cb_client=search.gws-prod.gps&amp;w=408&amp;h=240&amp;yaw=268.68698&amp;pitch=0&amp;thumbfov=100", "link")</f>
        <v>link</v>
      </c>
    </row>
    <row r="3927" spans="1:4" x14ac:dyDescent="0.45">
      <c r="A3927" t="s">
        <v>3929</v>
      </c>
      <c r="B3927">
        <v>34.023029299999997</v>
      </c>
      <c r="C3927">
        <v>-118.4842512</v>
      </c>
      <c r="D3927" t="str">
        <f>HYPERLINK("https://streetviewpixels-pa.googleapis.com/v1/thumbnail?panoid=YsJ_DABvljMGhshXhG-Y9w&amp;cb_client=search.gws-prod.gps&amp;w=408&amp;h=240&amp;yaw=43.656303&amp;pitch=0&amp;thumbfov=100", "link")</f>
        <v>link</v>
      </c>
    </row>
    <row r="3928" spans="1:4" x14ac:dyDescent="0.45">
      <c r="A3928" t="s">
        <v>3930</v>
      </c>
      <c r="B3928">
        <v>34.022154899999997</v>
      </c>
      <c r="C3928">
        <v>-118.48111919999999</v>
      </c>
      <c r="D3928" t="str">
        <f>HYPERLINK("https://lh5.googleusercontent.com/p/AF1QipNYheQ3apboX_IMMPc6G1QzNWwumg0j7Lv1JbA5=w408-h306-k-no", "link")</f>
        <v>link</v>
      </c>
    </row>
    <row r="3929" spans="1:4" x14ac:dyDescent="0.45">
      <c r="A3929" t="s">
        <v>3931</v>
      </c>
      <c r="B3929">
        <v>34.028626299999999</v>
      </c>
      <c r="C3929">
        <v>-118.48062400000001</v>
      </c>
      <c r="D3929" t="str">
        <f>HYPERLINK("https://streetviewpixels-pa.googleapis.com/v1/thumbnail?panoid=I15lG890DLBTczOdsM86MA&amp;cb_client=search.gws-prod.gps&amp;w=408&amp;h=240&amp;yaw=222.17958&amp;pitch=0&amp;thumbfov=100", "link")</f>
        <v>link</v>
      </c>
    </row>
    <row r="3930" spans="1:4" x14ac:dyDescent="0.45">
      <c r="A3930" t="s">
        <v>3932</v>
      </c>
      <c r="B3930">
        <v>34.028664300000003</v>
      </c>
      <c r="C3930">
        <v>-118.4805437</v>
      </c>
      <c r="D3930" t="str">
        <f>HYPERLINK("https://streetviewpixels-pa.googleapis.com/v1/thumbnail?panoid=I15lG890DLBTczOdsM86MA&amp;cb_client=search.gws-prod.gps&amp;w=408&amp;h=240&amp;yaw=217.84921&amp;pitch=0&amp;thumbfov=100", "link")</f>
        <v>link</v>
      </c>
    </row>
    <row r="3931" spans="1:4" x14ac:dyDescent="0.45">
      <c r="A3931" t="s">
        <v>3933</v>
      </c>
      <c r="B3931">
        <v>34.0288246</v>
      </c>
      <c r="C3931">
        <v>-118.4804915</v>
      </c>
      <c r="D3931" t="str">
        <f>HYPERLINK("https://streetviewpixels-pa.googleapis.com/v1/thumbnail?panoid=I-xLfY3uCzUY5AIK_5rJNQ&amp;cb_client=search.gws-prod.gps&amp;w=408&amp;h=240&amp;yaw=209.71603&amp;pitch=0&amp;thumbfov=100", "link")</f>
        <v>link</v>
      </c>
    </row>
    <row r="3932" spans="1:4" x14ac:dyDescent="0.45">
      <c r="A3932" t="s">
        <v>3934</v>
      </c>
      <c r="B3932">
        <v>34.028659300000001</v>
      </c>
      <c r="C3932">
        <v>-118.47976370000001</v>
      </c>
      <c r="D3932" t="str">
        <f>HYPERLINK("https://lh5.googleusercontent.com/p/AF1QipNEUxaw9507GFG7F5KsH4KaA0h3QjtqSwdYrszu=w426-h240-k-no", "link")</f>
        <v>link</v>
      </c>
    </row>
    <row r="3933" spans="1:4" x14ac:dyDescent="0.45">
      <c r="A3933" t="s">
        <v>3935</v>
      </c>
      <c r="B3933">
        <v>34.028000200000001</v>
      </c>
      <c r="C3933">
        <v>-118.48158859999999</v>
      </c>
      <c r="D3933" t="str">
        <f>HYPERLINK("https://streetviewpixels-pa.googleapis.com/v1/thumbnail?panoid=HP-xhSBmVZDfgrOAQbafgQ&amp;cb_client=search.gws-prod.gps&amp;w=408&amp;h=240&amp;yaw=240.6437&amp;pitch=0&amp;thumbfov=100", "link")</f>
        <v>link</v>
      </c>
    </row>
    <row r="3934" spans="1:4" x14ac:dyDescent="0.45">
      <c r="A3934" t="s">
        <v>3936</v>
      </c>
      <c r="B3934">
        <v>34.028576399999999</v>
      </c>
      <c r="C3934">
        <v>-118.478988</v>
      </c>
      <c r="D3934" t="str">
        <f>HYPERLINK("https://streetviewpixels-pa.googleapis.com/v1/thumbnail?panoid=1I1r3LCW8WcDPD37EeMABg&amp;cb_client=search.gws-prod.gps&amp;w=408&amp;h=240&amp;yaw=38.359325&amp;pitch=0&amp;thumbfov=100", "link")</f>
        <v>link</v>
      </c>
    </row>
    <row r="3935" spans="1:4" x14ac:dyDescent="0.45">
      <c r="A3935" t="s">
        <v>3937</v>
      </c>
      <c r="B3935">
        <v>34.029959599999998</v>
      </c>
      <c r="C3935">
        <v>-118.48101370000001</v>
      </c>
      <c r="D3935" t="str">
        <f>HYPERLINK("https://streetviewpixels-pa.googleapis.com/v1/thumbnail?panoid=mVkmfD02WxhD1NhE3CpmJA&amp;cb_client=search.gws-prod.gps&amp;w=408&amp;h=240&amp;yaw=123.099785&amp;pitch=0&amp;thumbfov=100", "link")</f>
        <v>link</v>
      </c>
    </row>
    <row r="3936" spans="1:4" x14ac:dyDescent="0.45">
      <c r="A3936" t="s">
        <v>3938</v>
      </c>
      <c r="B3936">
        <v>34.029971199999999</v>
      </c>
      <c r="C3936">
        <v>-118.481008</v>
      </c>
      <c r="D3936" t="str">
        <f>HYPERLINK("https://streetviewpixels-pa.googleapis.com/v1/thumbnail?panoid=mVkmfD02WxhD1NhE3CpmJA&amp;cb_client=search.gws-prod.gps&amp;w=408&amp;h=240&amp;yaw=123.099785&amp;pitch=0&amp;thumbfov=100", "link")</f>
        <v>link</v>
      </c>
    </row>
    <row r="3937" spans="1:4" x14ac:dyDescent="0.45">
      <c r="A3937" t="s">
        <v>3939</v>
      </c>
      <c r="B3937">
        <v>34.027082200000002</v>
      </c>
      <c r="C3937">
        <v>-118.4795048</v>
      </c>
      <c r="D3937" t="str">
        <f>HYPERLINK("https://streetviewpixels-pa.googleapis.com/v1/thumbnail?panoid=Q_kQ6602QxdUSeJ_pp5xfw&amp;cb_client=search.gws-prod.gps&amp;w=408&amp;h=240&amp;yaw=256.05746&amp;pitch=0&amp;thumbfov=100", "link")</f>
        <v>link</v>
      </c>
    </row>
    <row r="3938" spans="1:4" x14ac:dyDescent="0.45">
      <c r="A3938" t="s">
        <v>3940</v>
      </c>
      <c r="B3938">
        <v>34.028262400000003</v>
      </c>
      <c r="C3938">
        <v>-118.4782154</v>
      </c>
      <c r="D3938" t="str">
        <f>HYPERLINK("https://streetviewpixels-pa.googleapis.com/v1/thumbnail?panoid=A76Y9InsmU2sfOg7Ht9AeA&amp;cb_client=search.gws-prod.gps&amp;w=408&amp;h=240&amp;yaw=245.94551&amp;pitch=0&amp;thumbfov=100", "link")</f>
        <v>link</v>
      </c>
    </row>
    <row r="3939" spans="1:4" x14ac:dyDescent="0.45">
      <c r="A3939" t="s">
        <v>3941</v>
      </c>
      <c r="B3939">
        <v>34.027120299999901</v>
      </c>
      <c r="C3939">
        <v>-118.4828086</v>
      </c>
      <c r="D3939" t="str">
        <f>HYPERLINK("https://streetviewpixels-pa.googleapis.com/v1/thumbnail?panoid=1fu5L56iKAWzgXY5XFniWg&amp;cb_client=search.gws-prod.gps&amp;w=408&amp;h=240&amp;yaw=313.7558&amp;pitch=0&amp;thumbfov=100", "link")</f>
        <v>link</v>
      </c>
    </row>
    <row r="3940" spans="1:4" x14ac:dyDescent="0.45">
      <c r="A3940" t="s">
        <v>3942</v>
      </c>
      <c r="B3940">
        <v>34.030214000000001</v>
      </c>
      <c r="C3940">
        <v>-118.47776930000001</v>
      </c>
      <c r="D3940" t="str">
        <f>HYPERLINK("https://streetviewpixels-pa.googleapis.com/v1/thumbnail?panoid=-6hUDxgADi6gpgu0pYIfcw&amp;cb_client=search.gws-prod.gps&amp;w=408&amp;h=240&amp;yaw=117.42248&amp;pitch=0&amp;thumbfov=100", "link")</f>
        <v>link</v>
      </c>
    </row>
    <row r="3941" spans="1:4" x14ac:dyDescent="0.45">
      <c r="A3941" t="s">
        <v>3943</v>
      </c>
      <c r="B3941">
        <v>34.029251000000002</v>
      </c>
      <c r="C3941">
        <v>-118.47718190000001</v>
      </c>
      <c r="D3941" t="str">
        <f>HYPERLINK("https://streetviewpixels-pa.googleapis.com/v1/thumbnail?panoid=eNV4vaDdI0_bZvm1U4Hw8w&amp;cb_client=search.gws-prod.gps&amp;w=408&amp;h=240&amp;yaw=169.38701&amp;pitch=0&amp;thumbfov=100", "link")</f>
        <v>link</v>
      </c>
    </row>
    <row r="3942" spans="1:4" x14ac:dyDescent="0.45">
      <c r="A3942" t="s">
        <v>3944</v>
      </c>
      <c r="B3942">
        <v>34.029748900000001</v>
      </c>
      <c r="C3942">
        <v>-118.48395480000001</v>
      </c>
      <c r="D3942" t="str">
        <f>HYPERLINK("https://streetviewpixels-pa.googleapis.com/v1/thumbnail?panoid=McLP7sSL3YDHsongNJ4yJQ&amp;cb_client=search.gws-prod.gps&amp;w=408&amp;h=240&amp;yaw=8.397857&amp;pitch=0&amp;thumbfov=100", "link")</f>
        <v>link</v>
      </c>
    </row>
    <row r="3943" spans="1:4" x14ac:dyDescent="0.45">
      <c r="A3943" t="s">
        <v>3945</v>
      </c>
      <c r="B3943">
        <v>34.030143099999997</v>
      </c>
      <c r="C3943">
        <v>-118.477182</v>
      </c>
      <c r="D3943" t="str">
        <f>HYPERLINK("https://streetviewpixels-pa.googleapis.com/v1/thumbnail?panoid=ve8YjubFksC1wTFzyMDjaw&amp;cb_client=search.gws-prod.gps&amp;w=408&amp;h=240&amp;yaw=308.4788&amp;pitch=0&amp;thumbfov=100", "link")</f>
        <v>link</v>
      </c>
    </row>
    <row r="3944" spans="1:4" x14ac:dyDescent="0.45">
      <c r="A3944" t="s">
        <v>3946</v>
      </c>
      <c r="B3944">
        <v>34.031989500000002</v>
      </c>
      <c r="C3944">
        <v>-118.48170349999999</v>
      </c>
      <c r="D3944" t="str">
        <f>HYPERLINK("https://streetviewpixels-pa.googleapis.com/v1/thumbnail?panoid=Yqj2cbZQJWP_7DsifiKojQ&amp;cb_client=search.gws-prod.gps&amp;w=408&amp;h=240&amp;yaw=139.72752&amp;pitch=0&amp;thumbfov=100", "link")</f>
        <v>link</v>
      </c>
    </row>
    <row r="3945" spans="1:4" x14ac:dyDescent="0.45">
      <c r="A3945" t="s">
        <v>3947</v>
      </c>
      <c r="B3945">
        <v>34.026710199999997</v>
      </c>
      <c r="C3945">
        <v>-118.48459889999999</v>
      </c>
      <c r="D3945" t="str">
        <f>HYPERLINK("https://streetviewpixels-pa.googleapis.com/v1/thumbnail?panoid=h6fi2A8vxHO4S3EGm5V5iA&amp;cb_client=search.gws-prod.gps&amp;w=408&amp;h=240&amp;yaw=42.66222&amp;pitch=0&amp;thumbfov=100", "link")</f>
        <v>link</v>
      </c>
    </row>
    <row r="3946" spans="1:4" x14ac:dyDescent="0.45">
      <c r="A3946" t="s">
        <v>3948</v>
      </c>
      <c r="B3946">
        <v>34.031910699999997</v>
      </c>
      <c r="C3946">
        <v>-118.4832547</v>
      </c>
      <c r="D3946" t="str">
        <f>HYPERLINK("https://streetviewpixels-pa.googleapis.com/v1/thumbnail?panoid=kCCQgKJvKCbHx8qdlWxFPg&amp;cb_client=search.gws-prod.gps&amp;w=408&amp;h=240&amp;yaw=78.29191&amp;pitch=0&amp;thumbfov=100", "link")</f>
        <v>link</v>
      </c>
    </row>
    <row r="3947" spans="1:4" x14ac:dyDescent="0.45">
      <c r="A3947" t="s">
        <v>3949</v>
      </c>
      <c r="B3947">
        <v>34.0274821</v>
      </c>
      <c r="C3947">
        <v>-118.4854332</v>
      </c>
      <c r="D3947" t="str">
        <f>HYPERLINK("https://streetviewpixels-pa.googleapis.com/v1/thumbnail?panoid=tu0XJGu2jy4XmDuFfniZiQ&amp;cb_client=search.gws-prod.gps&amp;w=408&amp;h=240&amp;yaw=54.79788&amp;pitch=0&amp;thumbfov=100", "link")</f>
        <v>link</v>
      </c>
    </row>
    <row r="3948" spans="1:4" x14ac:dyDescent="0.45">
      <c r="A3948" t="s">
        <v>3950</v>
      </c>
      <c r="B3948">
        <v>34.032105000000001</v>
      </c>
      <c r="C3948">
        <v>-118.4835619</v>
      </c>
      <c r="D3948" t="s">
        <v>5</v>
      </c>
    </row>
    <row r="3949" spans="1:4" x14ac:dyDescent="0.45">
      <c r="A3949" t="s">
        <v>3951</v>
      </c>
      <c r="B3949">
        <v>34.034941099999998</v>
      </c>
      <c r="C3949">
        <v>-118.4781839</v>
      </c>
      <c r="D3949" t="str">
        <f>HYPERLINK("https://streetviewpixels-pa.googleapis.com/v1/thumbnail?panoid=6W3YacewOPNEc4vsUK3p3Q&amp;cb_client=search.gws-prod.gps&amp;w=408&amp;h=240&amp;yaw=131.43307&amp;pitch=0&amp;thumbfov=100", "link")</f>
        <v>link</v>
      </c>
    </row>
    <row r="3950" spans="1:4" x14ac:dyDescent="0.45">
      <c r="A3950" t="s">
        <v>3952</v>
      </c>
      <c r="B3950">
        <v>34.035570800000002</v>
      </c>
      <c r="C3950">
        <v>-118.4772258</v>
      </c>
      <c r="D3950" t="s">
        <v>5</v>
      </c>
    </row>
    <row r="3951" spans="1:4" x14ac:dyDescent="0.45">
      <c r="A3951" t="s">
        <v>3953</v>
      </c>
      <c r="B3951">
        <v>34.159701800000001</v>
      </c>
      <c r="C3951">
        <v>-118.4484957</v>
      </c>
      <c r="D3951" t="str">
        <f>HYPERLINK("https://streetviewpixels-pa.googleapis.com/v1/thumbnail?panoid=MfgxcdxHyjHr8-lBHA0AzA&amp;cb_client=search.gws-prod.gps&amp;w=408&amp;h=240&amp;yaw=342.33008&amp;pitch=0&amp;thumbfov=100", "link")</f>
        <v>link</v>
      </c>
    </row>
    <row r="3952" spans="1:4" x14ac:dyDescent="0.45">
      <c r="A3952" t="s">
        <v>3954</v>
      </c>
      <c r="B3952">
        <v>34.162355699999999</v>
      </c>
      <c r="C3952">
        <v>-118.44393359999999</v>
      </c>
      <c r="D3952" t="str">
        <f>HYPERLINK("https://streetviewpixels-pa.googleapis.com/v1/thumbnail?panoid=Agq346JjBg82U_wfBBGLXg&amp;cb_client=search.gws-prod.gps&amp;w=408&amp;h=240&amp;yaw=43.482643&amp;pitch=0&amp;thumbfov=100", "link")</f>
        <v>link</v>
      </c>
    </row>
    <row r="3953" spans="1:4" x14ac:dyDescent="0.45">
      <c r="A3953" t="s">
        <v>3955</v>
      </c>
      <c r="B3953">
        <v>34.1605037</v>
      </c>
      <c r="C3953">
        <v>-118.4437326</v>
      </c>
      <c r="D3953" t="s">
        <v>5</v>
      </c>
    </row>
    <row r="3954" spans="1:4" x14ac:dyDescent="0.45">
      <c r="A3954" t="s">
        <v>3956</v>
      </c>
      <c r="B3954">
        <v>34.161734699999997</v>
      </c>
      <c r="C3954">
        <v>-118.44031440000001</v>
      </c>
      <c r="D3954" t="s">
        <v>5</v>
      </c>
    </row>
    <row r="3955" spans="1:4" x14ac:dyDescent="0.45">
      <c r="A3955" t="s">
        <v>3957</v>
      </c>
      <c r="B3955">
        <v>34.1517974</v>
      </c>
      <c r="C3955">
        <v>-118.44910160000001</v>
      </c>
      <c r="D3955" t="str">
        <f>HYPERLINK("https://streetviewpixels-pa.googleapis.com/v1/thumbnail?panoid=shrYhGYvW2KFem5rl-2Cqg&amp;cb_client=search.gws-prod.gps&amp;w=408&amp;h=240&amp;yaw=127.30704&amp;pitch=0&amp;thumbfov=100", "link")</f>
        <v>link</v>
      </c>
    </row>
    <row r="3956" spans="1:4" x14ac:dyDescent="0.45">
      <c r="A3956" t="s">
        <v>3958</v>
      </c>
      <c r="B3956">
        <v>34.150645699999998</v>
      </c>
      <c r="C3956">
        <v>-118.4512616</v>
      </c>
      <c r="D3956" t="str">
        <f>HYPERLINK("https://streetviewpixels-pa.googleapis.com/v1/thumbnail?panoid=CToER9KRsQuEDXMEWZl3LA&amp;cb_client=search.gws-prod.gps&amp;w=408&amp;h=240&amp;yaw=129.7368&amp;pitch=0&amp;thumbfov=100", "link")</f>
        <v>link</v>
      </c>
    </row>
    <row r="3957" spans="1:4" x14ac:dyDescent="0.45">
      <c r="A3957" t="s">
        <v>3959</v>
      </c>
      <c r="B3957">
        <v>34.150454699999997</v>
      </c>
      <c r="C3957">
        <v>-118.4510198</v>
      </c>
      <c r="D3957" t="str">
        <f>HYPERLINK("https://streetviewpixels-pa.googleapis.com/v1/thumbnail?panoid=CToER9KRsQuEDXMEWZl3LA&amp;cb_client=search.gws-prod.gps&amp;w=408&amp;h=240&amp;yaw=129.7368&amp;pitch=0&amp;thumbfov=100", "link")</f>
        <v>link</v>
      </c>
    </row>
    <row r="3958" spans="1:4" x14ac:dyDescent="0.45">
      <c r="A3958" t="s">
        <v>3960</v>
      </c>
      <c r="B3958">
        <v>34.151167600000001</v>
      </c>
      <c r="C3958">
        <v>-118.45441889999999</v>
      </c>
      <c r="D3958" t="str">
        <f>HYPERLINK("https://streetviewpixels-pa.googleapis.com/v1/thumbnail?panoid=LrIZ95nCWadT8TzXdyDuLQ&amp;cb_client=search.gws-prod.gps&amp;w=408&amp;h=240&amp;yaw=192.94666&amp;pitch=0&amp;thumbfov=100", "link")</f>
        <v>link</v>
      </c>
    </row>
    <row r="3959" spans="1:4" x14ac:dyDescent="0.45">
      <c r="A3959" t="s">
        <v>3961</v>
      </c>
      <c r="B3959">
        <v>34.145716800000002</v>
      </c>
      <c r="C3959">
        <v>-118.0999231</v>
      </c>
      <c r="D3959" t="s">
        <v>5</v>
      </c>
    </row>
    <row r="3960" spans="1:4" x14ac:dyDescent="0.45">
      <c r="A3960" t="s">
        <v>3962</v>
      </c>
      <c r="B3960">
        <v>34.146405100000003</v>
      </c>
      <c r="C3960">
        <v>-118.1010204</v>
      </c>
      <c r="D3960" t="s">
        <v>5</v>
      </c>
    </row>
    <row r="3961" spans="1:4" x14ac:dyDescent="0.45">
      <c r="A3961" t="s">
        <v>3963</v>
      </c>
      <c r="B3961">
        <v>34.146790799999998</v>
      </c>
      <c r="C3961">
        <v>-118.10226590000001</v>
      </c>
      <c r="D3961" t="s">
        <v>5</v>
      </c>
    </row>
    <row r="3962" spans="1:4" x14ac:dyDescent="0.45">
      <c r="A3962" t="s">
        <v>3964</v>
      </c>
      <c r="B3962">
        <v>34.148741200000003</v>
      </c>
      <c r="C3962">
        <v>-118.0970882</v>
      </c>
      <c r="D3962" t="s">
        <v>5</v>
      </c>
    </row>
    <row r="3963" spans="1:4" x14ac:dyDescent="0.45">
      <c r="A3963" t="s">
        <v>3965</v>
      </c>
      <c r="B3963">
        <v>34.1492121</v>
      </c>
      <c r="C3963">
        <v>-118.0980941</v>
      </c>
      <c r="D3963" t="s">
        <v>5</v>
      </c>
    </row>
    <row r="3964" spans="1:4" x14ac:dyDescent="0.45">
      <c r="A3964" t="s">
        <v>3966</v>
      </c>
      <c r="B3964">
        <v>34.146867100000001</v>
      </c>
      <c r="C3964">
        <v>-118.09775550000001</v>
      </c>
      <c r="D3964" t="str">
        <f>HYPERLINK("https://streetviewpixels-pa.googleapis.com/v1/thumbnail?panoid=12BmJs-vPuKYHfPJlQpEMw&amp;cb_client=search.gws-prod.gps&amp;w=408&amp;h=240&amp;yaw=174.34814&amp;pitch=0&amp;thumbfov=100", "link")</f>
        <v>link</v>
      </c>
    </row>
    <row r="3965" spans="1:4" x14ac:dyDescent="0.45">
      <c r="A3965" t="s">
        <v>3967</v>
      </c>
      <c r="B3965">
        <v>34.1464906</v>
      </c>
      <c r="C3965">
        <v>-118.0980941</v>
      </c>
      <c r="D3965" t="s">
        <v>5</v>
      </c>
    </row>
    <row r="3966" spans="1:4" x14ac:dyDescent="0.45">
      <c r="A3966" t="s">
        <v>3968</v>
      </c>
      <c r="B3966">
        <v>33.799049599999996</v>
      </c>
      <c r="C3966">
        <v>-118.1788055</v>
      </c>
      <c r="D3966" t="str">
        <f>HYPERLINK("https://streetviewpixels-pa.googleapis.com/v1/thumbnail?panoid=htbEOtO661oV25yYdTisEg&amp;cb_client=search.gws-prod.gps&amp;w=408&amp;h=240&amp;yaw=264.25385&amp;pitch=0&amp;thumbfov=100", "link")</f>
        <v>link</v>
      </c>
    </row>
    <row r="3967" spans="1:4" x14ac:dyDescent="0.45">
      <c r="A3967" t="s">
        <v>3969</v>
      </c>
      <c r="B3967">
        <v>33.800991199999999</v>
      </c>
      <c r="C3967">
        <v>-118.15693039999999</v>
      </c>
      <c r="D3967" t="s">
        <v>5</v>
      </c>
    </row>
    <row r="3968" spans="1:4" x14ac:dyDescent="0.45">
      <c r="A3968" t="s">
        <v>3970</v>
      </c>
      <c r="B3968">
        <v>33.7941571</v>
      </c>
      <c r="C3968">
        <v>-118.1722003</v>
      </c>
      <c r="D3968" t="s">
        <v>5</v>
      </c>
    </row>
    <row r="3969" spans="1:4" x14ac:dyDescent="0.45">
      <c r="A3969" t="s">
        <v>3971</v>
      </c>
      <c r="B3969">
        <v>34.116242999999997</v>
      </c>
      <c r="C3969">
        <v>-118.15730360000001</v>
      </c>
      <c r="D3969" t="str">
        <f>HYPERLINK("https://lh5.googleusercontent.com/p/AF1QipPzEeiwAGmvYUG_2m8yy6UixGL7fMzKExP2q6Xk=w408-h306-k-no", "link")</f>
        <v>link</v>
      </c>
    </row>
    <row r="3970" spans="1:4" x14ac:dyDescent="0.45">
      <c r="A3970" t="s">
        <v>3972</v>
      </c>
      <c r="B3970">
        <v>34.117707600000003</v>
      </c>
      <c r="C3970">
        <v>-118.1501579</v>
      </c>
      <c r="D3970" t="str">
        <f>HYPERLINK("https://streetviewpixels-pa.googleapis.com/v1/thumbnail?panoid=VxcQjPyMZkfBjuyz-1Y71Q&amp;cb_client=search.gws-prod.gps&amp;w=408&amp;h=240&amp;yaw=184.49382&amp;pitch=0&amp;thumbfov=100", "link")</f>
        <v>link</v>
      </c>
    </row>
    <row r="3971" spans="1:4" x14ac:dyDescent="0.45">
      <c r="A3971" t="s">
        <v>3973</v>
      </c>
      <c r="B3971">
        <v>34.121013300000001</v>
      </c>
      <c r="C3971">
        <v>-118.1496169</v>
      </c>
      <c r="D3971" t="str">
        <f>HYPERLINK("https://streetviewpixels-pa.googleapis.com/v1/thumbnail?panoid=af12VV0iyiKi1JE_lSPLmQ&amp;cb_client=search.gws-prod.gps&amp;w=408&amp;h=240&amp;yaw=221.26245&amp;pitch=0&amp;thumbfov=100", "link")</f>
        <v>link</v>
      </c>
    </row>
    <row r="3972" spans="1:4" x14ac:dyDescent="0.45">
      <c r="A3972" t="s">
        <v>3974</v>
      </c>
      <c r="B3972">
        <v>34.129081900000003</v>
      </c>
      <c r="C3972">
        <v>-118.3484787</v>
      </c>
      <c r="D3972" t="str">
        <f>HYPERLINK("https://streetviewpixels-pa.googleapis.com/v1/thumbnail?panoid=FlIBM6kHaq7dZa4PBpY_vg&amp;cb_client=search.gws-prod.gps&amp;w=408&amp;h=240&amp;yaw=191.68091&amp;pitch=0&amp;thumbfov=100", "link")</f>
        <v>link</v>
      </c>
    </row>
    <row r="3973" spans="1:4" x14ac:dyDescent="0.45">
      <c r="A3973" t="s">
        <v>3975</v>
      </c>
      <c r="B3973">
        <v>34.127592999999997</v>
      </c>
      <c r="C3973">
        <v>-118.34669700000001</v>
      </c>
      <c r="D3973" t="str">
        <f>HYPERLINK("https://streetviewpixels-pa.googleapis.com/v1/thumbnail?panoid=L0yWUte2Cz2hUfq5Vy_PpA&amp;cb_client=search.gws-prod.gps&amp;w=408&amp;h=240&amp;yaw=201.86183&amp;pitch=0&amp;thumbfov=100", "link")</f>
        <v>link</v>
      </c>
    </row>
    <row r="3974" spans="1:4" x14ac:dyDescent="0.45">
      <c r="A3974" t="s">
        <v>3976</v>
      </c>
      <c r="B3974">
        <v>34.1376572</v>
      </c>
      <c r="C3974">
        <v>-118.35608329999999</v>
      </c>
      <c r="D3974" t="str">
        <f>HYPERLINK("https://streetviewpixels-pa.googleapis.com/v1/thumbnail?panoid=1MrG0qwehekS0EyKYyihFA&amp;cb_client=search.gws-prod.gps&amp;w=408&amp;h=240&amp;yaw=11.060715&amp;pitch=0&amp;thumbfov=100", "link")</f>
        <v>link</v>
      </c>
    </row>
    <row r="3975" spans="1:4" x14ac:dyDescent="0.45">
      <c r="A3975" t="s">
        <v>3977</v>
      </c>
      <c r="B3975">
        <v>34.135040199999999</v>
      </c>
      <c r="C3975">
        <v>-118.35384980000001</v>
      </c>
      <c r="D3975" t="str">
        <f>HYPERLINK("https://lh5.googleusercontent.com/p/AF1QipMSi3BV28H9mZCyT9Ewe5DWqUXE-JMruNtM5svr=w408-h240-k-no-pi-28.595507-ya222.45215-ro6.236912-fo100", "link")</f>
        <v>link</v>
      </c>
    </row>
    <row r="3976" spans="1:4" x14ac:dyDescent="0.45">
      <c r="A3976" t="s">
        <v>3978</v>
      </c>
      <c r="B3976">
        <v>34.135662799999999</v>
      </c>
      <c r="C3976">
        <v>-118.3527775</v>
      </c>
      <c r="D3976" t="str">
        <f>HYPERLINK("https://lh5.googleusercontent.com/p/AF1QipMKCGdBbhn6DqU7Ncg5A4TiLwaxcM1lYmhS3oBP=w426-h240-k-no", "link")</f>
        <v>link</v>
      </c>
    </row>
    <row r="3977" spans="1:4" x14ac:dyDescent="0.45">
      <c r="A3977" t="s">
        <v>3979</v>
      </c>
      <c r="B3977">
        <v>34.136127700000003</v>
      </c>
      <c r="C3977">
        <v>-118.3518696</v>
      </c>
      <c r="D3977" t="str">
        <f>HYPERLINK("https://streetviewpixels-pa.googleapis.com/v1/thumbnail?panoid=CVWu5HNvlk2WVMABSiT8Cw&amp;cb_client=search.gws-prod.gps&amp;w=408&amp;h=240&amp;yaw=271.30872&amp;pitch=0&amp;thumbfov=100", "link")</f>
        <v>link</v>
      </c>
    </row>
    <row r="3978" spans="1:4" x14ac:dyDescent="0.45">
      <c r="A3978" t="s">
        <v>3980</v>
      </c>
      <c r="B3978">
        <v>34.134788700000001</v>
      </c>
      <c r="C3978">
        <v>-118.350554</v>
      </c>
      <c r="D3978" t="str">
        <f>HYPERLINK("https://lh5.googleusercontent.com/p/AF1QipO5cC-kfhYu-yi1yWD4mmaKTZUFji-lULro9xR6=w408-h270-k-no", "link")</f>
        <v>link</v>
      </c>
    </row>
    <row r="3979" spans="1:4" x14ac:dyDescent="0.45">
      <c r="A3979" t="s">
        <v>3981</v>
      </c>
      <c r="B3979">
        <v>34.1313508</v>
      </c>
      <c r="C3979">
        <v>-118.3507572</v>
      </c>
      <c r="D3979" t="s">
        <v>5</v>
      </c>
    </row>
    <row r="3980" spans="1:4" x14ac:dyDescent="0.45">
      <c r="A3980" t="s">
        <v>3982</v>
      </c>
      <c r="B3980">
        <v>34.129396999999997</v>
      </c>
      <c r="C3980">
        <v>-118.349031</v>
      </c>
      <c r="D3980" t="str">
        <f>HYPERLINK("https://streetviewpixels-pa.googleapis.com/v1/thumbnail?panoid=B2wGmqPLsNSTfFVCLvrx3w&amp;cb_client=search.gws-prod.gps&amp;w=408&amp;h=240&amp;yaw=351.80725&amp;pitch=0&amp;thumbfov=100", "link")</f>
        <v>link</v>
      </c>
    </row>
    <row r="3981" spans="1:4" x14ac:dyDescent="0.45">
      <c r="A3981" t="s">
        <v>3983</v>
      </c>
      <c r="B3981">
        <v>34.106817900000003</v>
      </c>
      <c r="C3981">
        <v>-118.4151693</v>
      </c>
      <c r="D3981" t="s">
        <v>5</v>
      </c>
    </row>
    <row r="3982" spans="1:4" x14ac:dyDescent="0.45">
      <c r="A3982" t="s">
        <v>3984</v>
      </c>
      <c r="B3982">
        <v>34.093258900000002</v>
      </c>
      <c r="C3982">
        <v>-118.4015227</v>
      </c>
      <c r="D3982" t="s">
        <v>5</v>
      </c>
    </row>
    <row r="3983" spans="1:4" x14ac:dyDescent="0.45">
      <c r="A3983" t="s">
        <v>3985</v>
      </c>
      <c r="B3983">
        <v>34.233984399999997</v>
      </c>
      <c r="C3983">
        <v>-118.29128609999999</v>
      </c>
      <c r="D3983" t="s">
        <v>5</v>
      </c>
    </row>
    <row r="3984" spans="1:4" x14ac:dyDescent="0.45">
      <c r="A3984" t="s">
        <v>3986</v>
      </c>
      <c r="B3984">
        <v>34.258054999999999</v>
      </c>
      <c r="C3984">
        <v>-118.3011248</v>
      </c>
      <c r="D3984" t="s">
        <v>5</v>
      </c>
    </row>
    <row r="3985" spans="1:4" x14ac:dyDescent="0.45">
      <c r="A3985" t="s">
        <v>3987</v>
      </c>
      <c r="B3985">
        <v>34.303750399999998</v>
      </c>
      <c r="C3985">
        <v>-118.25819989999999</v>
      </c>
      <c r="D3985" t="str">
        <f>HYPERLINK("https://lh5.googleusercontent.com/p/AF1QipMePYvi0kZAJW3IZPgoVFvuv9B3TQuGYcbYk6do=w408-h306-k-no", "link")</f>
        <v>link</v>
      </c>
    </row>
    <row r="3986" spans="1:4" x14ac:dyDescent="0.45">
      <c r="A3986" t="s">
        <v>3988</v>
      </c>
      <c r="B3986">
        <v>34.284836300000002</v>
      </c>
      <c r="C3986">
        <v>-118.22363989999999</v>
      </c>
      <c r="D3986" t="s">
        <v>5</v>
      </c>
    </row>
    <row r="3987" spans="1:4" x14ac:dyDescent="0.45">
      <c r="A3987" t="s">
        <v>3989</v>
      </c>
      <c r="B3987">
        <v>33.842435100000003</v>
      </c>
      <c r="C3987">
        <v>-118.31610379999999</v>
      </c>
      <c r="D3987" t="s">
        <v>5</v>
      </c>
    </row>
    <row r="3988" spans="1:4" x14ac:dyDescent="0.45">
      <c r="A3988" t="s">
        <v>3990</v>
      </c>
      <c r="B3988">
        <v>33.846521699999997</v>
      </c>
      <c r="C3988">
        <v>-118.3141858</v>
      </c>
      <c r="D3988" t="s">
        <v>5</v>
      </c>
    </row>
    <row r="3989" spans="1:4" x14ac:dyDescent="0.45">
      <c r="A3989" t="s">
        <v>3991</v>
      </c>
      <c r="B3989">
        <v>33.847134500000003</v>
      </c>
      <c r="C3989">
        <v>-118.3141402</v>
      </c>
      <c r="D3989" t="s">
        <v>5</v>
      </c>
    </row>
    <row r="3990" spans="1:4" x14ac:dyDescent="0.45">
      <c r="A3990" t="s">
        <v>3992</v>
      </c>
      <c r="B3990">
        <v>33.846555299999999</v>
      </c>
      <c r="C3990">
        <v>-118.3137292</v>
      </c>
      <c r="D3990" t="str">
        <f>HYPERLINK("https://streetviewpixels-pa.googleapis.com/v1/thumbnail?panoid=yqTdf2tIW0fv-nOx1SNgXQ&amp;cb_client=search.gws-prod.gps&amp;w=408&amp;h=240&amp;yaw=197.43645&amp;pitch=0&amp;thumbfov=100", "link")</f>
        <v>link</v>
      </c>
    </row>
    <row r="3991" spans="1:4" x14ac:dyDescent="0.45">
      <c r="A3991" t="s">
        <v>3993</v>
      </c>
      <c r="B3991">
        <v>33.859488300000002</v>
      </c>
      <c r="C3991">
        <v>-118.3253737</v>
      </c>
      <c r="D3991" t="s">
        <v>5</v>
      </c>
    </row>
    <row r="3992" spans="1:4" x14ac:dyDescent="0.45">
      <c r="A3992" t="s">
        <v>3994</v>
      </c>
      <c r="B3992">
        <v>33.840889699999998</v>
      </c>
      <c r="C3992">
        <v>-118.3168344</v>
      </c>
      <c r="D3992" t="s">
        <v>5</v>
      </c>
    </row>
    <row r="3993" spans="1:4" x14ac:dyDescent="0.45">
      <c r="A3993" t="s">
        <v>3995</v>
      </c>
      <c r="B3993">
        <v>33.858894800000002</v>
      </c>
      <c r="C3993">
        <v>-118.31907200000001</v>
      </c>
      <c r="D3993" t="s">
        <v>5</v>
      </c>
    </row>
    <row r="3994" spans="1:4" x14ac:dyDescent="0.45">
      <c r="A3994" t="s">
        <v>3996</v>
      </c>
      <c r="B3994">
        <v>34.210643900000001</v>
      </c>
      <c r="C3994">
        <v>-118.48320289999999</v>
      </c>
      <c r="D3994" t="s">
        <v>5</v>
      </c>
    </row>
    <row r="3995" spans="1:4" x14ac:dyDescent="0.45">
      <c r="A3995" t="s">
        <v>3997</v>
      </c>
      <c r="B3995">
        <v>34.2088714</v>
      </c>
      <c r="C3995">
        <v>-118.48548390000001</v>
      </c>
      <c r="D3995" t="s">
        <v>5</v>
      </c>
    </row>
    <row r="3996" spans="1:4" x14ac:dyDescent="0.45">
      <c r="A3996" t="s">
        <v>3998</v>
      </c>
      <c r="B3996">
        <v>34.209743000000003</v>
      </c>
      <c r="C3996">
        <v>-118.4832942</v>
      </c>
      <c r="D3996" t="s">
        <v>5</v>
      </c>
    </row>
    <row r="3997" spans="1:4" x14ac:dyDescent="0.45">
      <c r="A3997" t="s">
        <v>3999</v>
      </c>
      <c r="B3997">
        <v>33.989877399999997</v>
      </c>
      <c r="C3997">
        <v>-118.47341369999999</v>
      </c>
      <c r="D3997" t="str">
        <f>HYPERLINK("https://streetviewpixels-pa.googleapis.com/v1/thumbnail?panoid=9QhxXw9Af1XUsXuB6ytQyQ&amp;cb_client=search.gws-prod.gps&amp;w=408&amp;h=240&amp;yaw=55.03179&amp;pitch=0&amp;thumbfov=100", "link")</f>
        <v>link</v>
      </c>
    </row>
    <row r="3998" spans="1:4" x14ac:dyDescent="0.45">
      <c r="A3998" t="s">
        <v>4000</v>
      </c>
      <c r="B3998">
        <v>33.990240800000002</v>
      </c>
      <c r="C3998">
        <v>-118.4760388</v>
      </c>
      <c r="D3998" t="str">
        <f>HYPERLINK("https://streetviewpixels-pa.googleapis.com/v1/thumbnail?panoid=c02TvUcEeiT1z2eAtD-Zgw&amp;cb_client=search.gws-prod.gps&amp;w=408&amp;h=240&amp;yaw=140.72221&amp;pitch=0&amp;thumbfov=100", "link")</f>
        <v>link</v>
      </c>
    </row>
    <row r="3999" spans="1:4" x14ac:dyDescent="0.45">
      <c r="A3999" t="s">
        <v>4001</v>
      </c>
      <c r="B3999">
        <v>33.990249499999997</v>
      </c>
      <c r="C3999">
        <v>-118.476247</v>
      </c>
      <c r="D3999" t="s">
        <v>5</v>
      </c>
    </row>
    <row r="4000" spans="1:4" x14ac:dyDescent="0.45">
      <c r="A4000" t="s">
        <v>4002</v>
      </c>
      <c r="B4000">
        <v>33.991796999999998</v>
      </c>
      <c r="C4000">
        <v>-118.4697444</v>
      </c>
      <c r="D4000" t="str">
        <f>HYPERLINK("https://streetviewpixels-pa.googleapis.com/v1/thumbnail?panoid=Bg2MTSVijC9Ied2j5IrSCw&amp;cb_client=search.gws-prod.gps&amp;w=408&amp;h=240&amp;yaw=296.14725&amp;pitch=0&amp;thumbfov=100", "link")</f>
        <v>link</v>
      </c>
    </row>
    <row r="4001" spans="1:4" x14ac:dyDescent="0.45">
      <c r="A4001" t="s">
        <v>4003</v>
      </c>
      <c r="B4001">
        <v>33.991978899999999</v>
      </c>
      <c r="C4001">
        <v>-118.4728758</v>
      </c>
      <c r="D4001" t="str">
        <f>HYPERLINK("https://streetviewpixels-pa.googleapis.com/v1/thumbnail?panoid=U7eriWyYZbcjUHasQmodOA&amp;cb_client=search.gws-prod.gps&amp;w=408&amp;h=240&amp;yaw=226.94641&amp;pitch=0&amp;thumbfov=100", "link")</f>
        <v>link</v>
      </c>
    </row>
    <row r="4002" spans="1:4" x14ac:dyDescent="0.45">
      <c r="A4002" t="s">
        <v>4004</v>
      </c>
      <c r="B4002">
        <v>33.991324499999997</v>
      </c>
      <c r="C4002">
        <v>-118.4771125</v>
      </c>
      <c r="D4002" t="str">
        <f>HYPERLINK("https://streetviewpixels-pa.googleapis.com/v1/thumbnail?panoid=CebjOnzMY_LYE8BwegHx_A&amp;cb_client=search.gws-prod.gps&amp;w=408&amp;h=240&amp;yaw=200.16681&amp;pitch=0&amp;thumbfov=100", "link")</f>
        <v>link</v>
      </c>
    </row>
    <row r="4003" spans="1:4" x14ac:dyDescent="0.45">
      <c r="A4003" t="s">
        <v>4005</v>
      </c>
      <c r="B4003">
        <v>33.992309300000002</v>
      </c>
      <c r="C4003">
        <v>-118.4781503</v>
      </c>
      <c r="D4003" t="s">
        <v>5</v>
      </c>
    </row>
    <row r="4004" spans="1:4" x14ac:dyDescent="0.45">
      <c r="A4004" t="s">
        <v>4006</v>
      </c>
      <c r="B4004">
        <v>33.992576900000003</v>
      </c>
      <c r="C4004">
        <v>-118.4782658</v>
      </c>
      <c r="D4004" t="s">
        <v>5</v>
      </c>
    </row>
    <row r="4005" spans="1:4" x14ac:dyDescent="0.45">
      <c r="A4005" t="s">
        <v>4007</v>
      </c>
      <c r="B4005">
        <v>33.986879999999999</v>
      </c>
      <c r="C4005">
        <v>-118.4719533</v>
      </c>
      <c r="D4005" t="str">
        <f>HYPERLINK("https://streetviewpixels-pa.googleapis.com/v1/thumbnail?panoid=M0Noc99Fht3r18upyqTjSQ&amp;cb_client=search.gws-prod.gps&amp;w=408&amp;h=240&amp;yaw=119.60245&amp;pitch=0&amp;thumbfov=100", "link")</f>
        <v>link</v>
      </c>
    </row>
    <row r="4006" spans="1:4" x14ac:dyDescent="0.45">
      <c r="A4006" t="s">
        <v>4008</v>
      </c>
      <c r="B4006">
        <v>33.987160899999999</v>
      </c>
      <c r="C4006">
        <v>-118.4715284</v>
      </c>
      <c r="D4006" t="s">
        <v>5</v>
      </c>
    </row>
    <row r="4007" spans="1:4" x14ac:dyDescent="0.45">
      <c r="A4007" t="s">
        <v>4009</v>
      </c>
      <c r="B4007">
        <v>33.986651600000002</v>
      </c>
      <c r="C4007">
        <v>-118.47302929999999</v>
      </c>
      <c r="D4007" t="s">
        <v>5</v>
      </c>
    </row>
    <row r="4008" spans="1:4" x14ac:dyDescent="0.45">
      <c r="A4008" t="s">
        <v>4010</v>
      </c>
      <c r="B4008">
        <v>33.9871737</v>
      </c>
      <c r="C4008">
        <v>-118.47147409999999</v>
      </c>
      <c r="D4008" t="s">
        <v>5</v>
      </c>
    </row>
    <row r="4009" spans="1:4" x14ac:dyDescent="0.45">
      <c r="A4009" t="s">
        <v>4011</v>
      </c>
      <c r="B4009">
        <v>33.986981399999998</v>
      </c>
      <c r="C4009">
        <v>-118.4723783</v>
      </c>
      <c r="D4009" t="str">
        <f>HYPERLINK("https://streetviewpixels-pa.googleapis.com/v1/thumbnail?panoid=MvTPdtjpZzcsfu3HvQK_DA&amp;cb_client=search.gws-prod.gps&amp;w=408&amp;h=240&amp;yaw=252.10603&amp;pitch=0&amp;thumbfov=100", "link")</f>
        <v>link</v>
      </c>
    </row>
    <row r="4010" spans="1:4" x14ac:dyDescent="0.45">
      <c r="A4010" t="s">
        <v>4012</v>
      </c>
      <c r="B4010">
        <v>33.987427999999902</v>
      </c>
      <c r="C4010">
        <v>-118.47179300000001</v>
      </c>
      <c r="D4010" t="str">
        <f>HYPERLINK("https://streetviewpixels-pa.googleapis.com/v1/thumbnail?panoid=UMH66LsGD1Ima8zZ_Im5Lw&amp;cb_client=search.gws-prod.gps&amp;w=408&amp;h=240&amp;yaw=315.05298&amp;pitch=0&amp;thumbfov=100", "link")</f>
        <v>link</v>
      </c>
    </row>
    <row r="4011" spans="1:4" x14ac:dyDescent="0.45">
      <c r="A4011" t="s">
        <v>4013</v>
      </c>
      <c r="B4011">
        <v>33.987355600000001</v>
      </c>
      <c r="C4011">
        <v>-118.4727062</v>
      </c>
      <c r="D4011" t="str">
        <f>HYPERLINK("https://streetviewpixels-pa.googleapis.com/v1/thumbnail?panoid=DI2pM3kBzwjbAmzxXBTPsw&amp;cb_client=search.gws-prod.gps&amp;w=408&amp;h=240&amp;yaw=139.63052&amp;pitch=0&amp;thumbfov=100", "link")</f>
        <v>link</v>
      </c>
    </row>
    <row r="4012" spans="1:4" x14ac:dyDescent="0.45">
      <c r="A4012" t="s">
        <v>4014</v>
      </c>
      <c r="B4012">
        <v>33.987444599999897</v>
      </c>
      <c r="C4012">
        <v>-118.4731189</v>
      </c>
      <c r="D4012" t="str">
        <f>HYPERLINK("https://lh5.googleusercontent.com/p/AF1QipOz-8Xwju7-jQIXmElbA0JlO6otOQ1UoZ1HLnSz=w408-h306-k-no", "link")</f>
        <v>link</v>
      </c>
    </row>
    <row r="4013" spans="1:4" x14ac:dyDescent="0.45">
      <c r="A4013" t="s">
        <v>4015</v>
      </c>
      <c r="B4013">
        <v>33.987497900000001</v>
      </c>
      <c r="C4013">
        <v>-118.4736142</v>
      </c>
      <c r="D4013" t="s">
        <v>5</v>
      </c>
    </row>
    <row r="4014" spans="1:4" x14ac:dyDescent="0.45">
      <c r="A4014" t="s">
        <v>4016</v>
      </c>
      <c r="B4014">
        <v>33.992651700000003</v>
      </c>
      <c r="C4014">
        <v>-118.4782759</v>
      </c>
      <c r="D4014" t="s">
        <v>5</v>
      </c>
    </row>
    <row r="4015" spans="1:4" x14ac:dyDescent="0.45">
      <c r="A4015" t="s">
        <v>4017</v>
      </c>
      <c r="B4015">
        <v>33.992888600000001</v>
      </c>
      <c r="C4015">
        <v>-118.478415</v>
      </c>
      <c r="D4015" t="str">
        <f>HYPERLINK("https://lh5.googleusercontent.com/p/AF1QipMvgGpJeJc9d7O7Fyb8oxKdnXa3IniMdzyAvQm5=w426-h240-k-no", "link")</f>
        <v>link</v>
      </c>
    </row>
    <row r="4016" spans="1:4" x14ac:dyDescent="0.45">
      <c r="A4016" t="s">
        <v>4018</v>
      </c>
      <c r="B4016">
        <v>33.9944475</v>
      </c>
      <c r="C4016">
        <v>-118.4757149</v>
      </c>
      <c r="D4016" t="s">
        <v>5</v>
      </c>
    </row>
    <row r="4017" spans="1:4" x14ac:dyDescent="0.45">
      <c r="A4017" t="s">
        <v>4019</v>
      </c>
      <c r="B4017">
        <v>33.996043499999999</v>
      </c>
      <c r="C4017">
        <v>-118.47471659999999</v>
      </c>
      <c r="D4017" t="str">
        <f>HYPERLINK("https://streetviewpixels-pa.googleapis.com/v1/thumbnail?panoid=ivAa7WB60umk8Bx7rP4vLg&amp;cb_client=search.gws-prod.gps&amp;w=408&amp;h=240&amp;yaw=42.515545&amp;pitch=0&amp;thumbfov=100", "link")</f>
        <v>link</v>
      </c>
    </row>
    <row r="4018" spans="1:4" x14ac:dyDescent="0.45">
      <c r="A4018" t="s">
        <v>4020</v>
      </c>
      <c r="B4018">
        <v>33.9984591999999</v>
      </c>
      <c r="C4018">
        <v>-118.47847710000001</v>
      </c>
      <c r="D4018" t="str">
        <f>HYPERLINK("https://streetviewpixels-pa.googleapis.com/v1/thumbnail?panoid=ZVZ_1plZu5_IrvvF2_TGQg&amp;cb_client=search.gws-prod.gps&amp;w=408&amp;h=240&amp;yaw=31.852638&amp;pitch=0&amp;thumbfov=100", "link")</f>
        <v>link</v>
      </c>
    </row>
    <row r="4019" spans="1:4" x14ac:dyDescent="0.45">
      <c r="A4019" t="s">
        <v>4021</v>
      </c>
      <c r="B4019">
        <v>33.9976251</v>
      </c>
      <c r="C4019">
        <v>-118.4735206</v>
      </c>
      <c r="D4019" t="str">
        <f>HYPERLINK("https://streetviewpixels-pa.googleapis.com/v1/thumbnail?panoid=iQbkkvcDBrDaw98D8zmSlA&amp;cb_client=search.gws-prod.gps&amp;w=408&amp;h=240&amp;yaw=23.531687&amp;pitch=0&amp;thumbfov=100", "link")</f>
        <v>link</v>
      </c>
    </row>
    <row r="4020" spans="1:4" x14ac:dyDescent="0.45">
      <c r="A4020" t="s">
        <v>4022</v>
      </c>
      <c r="B4020">
        <v>33.997636999999997</v>
      </c>
      <c r="C4020">
        <v>-118.473499</v>
      </c>
      <c r="D4020" t="str">
        <f>HYPERLINK("https://streetviewpixels-pa.googleapis.com/v1/thumbnail?panoid=iQbkkvcDBrDaw98D8zmSlA&amp;cb_client=search.gws-prod.gps&amp;w=408&amp;h=240&amp;yaw=23.531687&amp;pitch=0&amp;thumbfov=100", "link")</f>
        <v>link</v>
      </c>
    </row>
    <row r="4021" spans="1:4" x14ac:dyDescent="0.45">
      <c r="A4021" t="s">
        <v>4023</v>
      </c>
      <c r="B4021">
        <v>33.994563900000003</v>
      </c>
      <c r="C4021">
        <v>-118.4800551</v>
      </c>
      <c r="D4021" t="s">
        <v>5</v>
      </c>
    </row>
    <row r="4022" spans="1:4" x14ac:dyDescent="0.45">
      <c r="A4022" t="s">
        <v>4024</v>
      </c>
      <c r="B4022">
        <v>33.994835600000002</v>
      </c>
      <c r="C4022">
        <v>-118.4805697</v>
      </c>
      <c r="D4022" t="s">
        <v>5</v>
      </c>
    </row>
    <row r="4023" spans="1:4" x14ac:dyDescent="0.45">
      <c r="A4023" t="s">
        <v>4025</v>
      </c>
      <c r="B4023">
        <v>33.994608800000002</v>
      </c>
      <c r="C4023">
        <v>-118.48085380000001</v>
      </c>
      <c r="D4023" t="s">
        <v>5</v>
      </c>
    </row>
    <row r="4024" spans="1:4" x14ac:dyDescent="0.45">
      <c r="A4024" t="s">
        <v>4026</v>
      </c>
      <c r="B4024">
        <v>33.994842900000002</v>
      </c>
      <c r="C4024">
        <v>-118.4810131</v>
      </c>
      <c r="D4024" t="s">
        <v>5</v>
      </c>
    </row>
    <row r="4025" spans="1:4" x14ac:dyDescent="0.45">
      <c r="A4025" t="s">
        <v>4027</v>
      </c>
      <c r="B4025">
        <v>33.995764600000001</v>
      </c>
      <c r="C4025">
        <v>-118.4777905</v>
      </c>
      <c r="D4025" t="s">
        <v>5</v>
      </c>
    </row>
    <row r="4026" spans="1:4" x14ac:dyDescent="0.45">
      <c r="A4026" t="s">
        <v>4028</v>
      </c>
      <c r="B4026">
        <v>33.995828899999999</v>
      </c>
      <c r="C4026">
        <v>-118.4777284</v>
      </c>
      <c r="D4026" t="s">
        <v>5</v>
      </c>
    </row>
    <row r="4027" spans="1:4" x14ac:dyDescent="0.45">
      <c r="A4027" t="s">
        <v>4029</v>
      </c>
      <c r="B4027">
        <v>33.995917200000001</v>
      </c>
      <c r="C4027">
        <v>-118.47837699999999</v>
      </c>
      <c r="D4027" t="str">
        <f>HYPERLINK("https://streetviewpixels-pa.googleapis.com/v1/thumbnail?panoid=h6pknZDmCuAMNeleuRU1sQ&amp;cb_client=search.gws-prod.gps&amp;w=408&amp;h=240&amp;yaw=348.8218&amp;pitch=0&amp;thumbfov=100", "link")</f>
        <v>link</v>
      </c>
    </row>
    <row r="4028" spans="1:4" x14ac:dyDescent="0.45">
      <c r="A4028" t="s">
        <v>4030</v>
      </c>
      <c r="B4028">
        <v>33.997055899999999</v>
      </c>
      <c r="C4028">
        <v>-118.4790514</v>
      </c>
      <c r="D4028" t="str">
        <f>HYPERLINK("https://streetviewpixels-pa.googleapis.com/v1/thumbnail?panoid=CEFuGXpMF_S8d4qFDSIRZg&amp;cb_client=search.gws-prod.gps&amp;w=408&amp;h=240&amp;yaw=158.80458&amp;pitch=0&amp;thumbfov=100", "link")</f>
        <v>link</v>
      </c>
    </row>
    <row r="4029" spans="1:4" x14ac:dyDescent="0.45">
      <c r="A4029" t="s">
        <v>4031</v>
      </c>
      <c r="B4029">
        <v>33.997444000000002</v>
      </c>
      <c r="C4029">
        <v>-118.47941640000001</v>
      </c>
      <c r="D4029" t="str">
        <f>HYPERLINK("https://streetviewpixels-pa.googleapis.com/v1/thumbnail?panoid=Q1JN6zGj3ygOn9OwYBLr_g&amp;cb_client=search.gws-prod.gps&amp;w=408&amp;h=240&amp;yaw=190.5409&amp;pitch=0&amp;thumbfov=100", "link")</f>
        <v>link</v>
      </c>
    </row>
    <row r="4030" spans="1:4" x14ac:dyDescent="0.45">
      <c r="A4030" t="s">
        <v>4032</v>
      </c>
      <c r="B4030">
        <v>33.997116300000002</v>
      </c>
      <c r="C4030">
        <v>-118.4595769</v>
      </c>
      <c r="D4030" t="str">
        <f>HYPERLINK("https://streetviewpixels-pa.googleapis.com/v1/thumbnail?panoid=8bN0b1KuXvDwQBQ6mBSNZg&amp;cb_client=search.gws-prod.gps&amp;w=408&amp;h=240&amp;yaw=263.35434&amp;pitch=0&amp;thumbfov=100", "link")</f>
        <v>link</v>
      </c>
    </row>
    <row r="4031" spans="1:4" x14ac:dyDescent="0.45">
      <c r="A4031" t="s">
        <v>4033</v>
      </c>
      <c r="B4031">
        <v>33.996651499999999</v>
      </c>
      <c r="C4031">
        <v>-118.45760679999999</v>
      </c>
      <c r="D4031" t="str">
        <f>HYPERLINK("https://streetviewpixels-pa.googleapis.com/v1/thumbnail?panoid=pcfHBWkbgIm73BK5hNUAmw&amp;cb_client=search.gws-prod.gps&amp;w=408&amp;h=240&amp;yaw=12.556745&amp;pitch=0&amp;thumbfov=100", "link")</f>
        <v>link</v>
      </c>
    </row>
    <row r="4032" spans="1:4" x14ac:dyDescent="0.45">
      <c r="A4032" t="s">
        <v>4034</v>
      </c>
      <c r="B4032">
        <v>33.9950896</v>
      </c>
      <c r="C4032">
        <v>-118.4648783</v>
      </c>
      <c r="D4032" t="str">
        <f>HYPERLINK("https://streetviewpixels-pa.googleapis.com/v1/thumbnail?panoid=hdAKbSX7AWoXX3FfzQWknA&amp;cb_client=search.gws-prod.gps&amp;w=408&amp;h=240&amp;yaw=359.45413&amp;pitch=0&amp;thumbfov=100", "link")</f>
        <v>link</v>
      </c>
    </row>
    <row r="4033" spans="1:4" x14ac:dyDescent="0.45">
      <c r="A4033" t="s">
        <v>4035</v>
      </c>
      <c r="B4033">
        <v>33.995331899999996</v>
      </c>
      <c r="C4033">
        <v>-118.4655703</v>
      </c>
      <c r="D4033" t="str">
        <f>HYPERLINK("https://streetviewpixels-pa.googleapis.com/v1/thumbnail?panoid=MkTxSuvuAHpeQx-yeqPCKw&amp;cb_client=search.gws-prod.gps&amp;w=408&amp;h=240&amp;yaw=192.1629&amp;pitch=0&amp;thumbfov=100", "link")</f>
        <v>link</v>
      </c>
    </row>
    <row r="4034" spans="1:4" x14ac:dyDescent="0.45">
      <c r="A4034" t="s">
        <v>4036</v>
      </c>
      <c r="B4034">
        <v>33.998841300000002</v>
      </c>
      <c r="C4034">
        <v>-118.4616965</v>
      </c>
      <c r="D4034" t="s">
        <v>5</v>
      </c>
    </row>
    <row r="4035" spans="1:4" x14ac:dyDescent="0.45">
      <c r="A4035" t="s">
        <v>4037</v>
      </c>
      <c r="B4035">
        <v>34.083022800000002</v>
      </c>
      <c r="C4035">
        <v>-118.3874886</v>
      </c>
      <c r="D4035" t="s">
        <v>5</v>
      </c>
    </row>
    <row r="4036" spans="1:4" x14ac:dyDescent="0.45">
      <c r="A4036" t="s">
        <v>4038</v>
      </c>
      <c r="B4036">
        <v>34.0829837</v>
      </c>
      <c r="C4036">
        <v>-118.3875099</v>
      </c>
      <c r="D4036" t="s">
        <v>5</v>
      </c>
    </row>
    <row r="4037" spans="1:4" x14ac:dyDescent="0.45">
      <c r="A4037" t="s">
        <v>4039</v>
      </c>
      <c r="B4037">
        <v>34.085264100000003</v>
      </c>
      <c r="C4037">
        <v>-118.3846341</v>
      </c>
      <c r="D4037" t="s">
        <v>5</v>
      </c>
    </row>
    <row r="4038" spans="1:4" x14ac:dyDescent="0.45">
      <c r="A4038" t="s">
        <v>4040</v>
      </c>
      <c r="B4038">
        <v>34.085307</v>
      </c>
      <c r="C4038">
        <v>-118.3844788</v>
      </c>
      <c r="D4038" t="s">
        <v>5</v>
      </c>
    </row>
    <row r="4039" spans="1:4" x14ac:dyDescent="0.45">
      <c r="A4039" t="s">
        <v>4041</v>
      </c>
      <c r="B4039">
        <v>34.085772200000001</v>
      </c>
      <c r="C4039">
        <v>-118.3842944</v>
      </c>
      <c r="D4039" t="str">
        <f>HYPERLINK("https://streetviewpixels-pa.googleapis.com/v1/thumbnail?panoid=CDHWwAOhFNd24aJ-P21fmw&amp;cb_client=search.gws-prod.gps&amp;w=408&amp;h=240&amp;yaw=44.347557&amp;pitch=0&amp;thumbfov=100", "link")</f>
        <v>link</v>
      </c>
    </row>
    <row r="4040" spans="1:4" x14ac:dyDescent="0.45">
      <c r="A4040" t="s">
        <v>4042</v>
      </c>
      <c r="B4040">
        <v>34.086023099999998</v>
      </c>
      <c r="C4040">
        <v>-118.3836553</v>
      </c>
      <c r="D4040" t="str">
        <f>HYPERLINK("https://streetviewpixels-pa.googleapis.com/v1/thumbnail?panoid=dGfuM7w4Z40JwY1abWEyGQ&amp;cb_client=search.gws-prod.gps&amp;w=408&amp;h=240&amp;yaw=62.3613&amp;pitch=0&amp;thumbfov=100", "link")</f>
        <v>link</v>
      </c>
    </row>
    <row r="4041" spans="1:4" x14ac:dyDescent="0.45">
      <c r="A4041" t="s">
        <v>4043</v>
      </c>
      <c r="B4041">
        <v>34.082123500000002</v>
      </c>
      <c r="C4041">
        <v>-118.3886282</v>
      </c>
      <c r="D4041" t="s">
        <v>5</v>
      </c>
    </row>
    <row r="4042" spans="1:4" x14ac:dyDescent="0.45">
      <c r="A4042" t="s">
        <v>4044</v>
      </c>
      <c r="B4042">
        <v>34.086089700000002</v>
      </c>
      <c r="C4042">
        <v>-118.38360640000001</v>
      </c>
      <c r="D4042" t="str">
        <f>HYPERLINK("https://streetviewpixels-pa.googleapis.com/v1/thumbnail?panoid=dGfuM7w4Z40JwY1abWEyGQ&amp;cb_client=search.gws-prod.gps&amp;w=408&amp;h=240&amp;yaw=44.951046&amp;pitch=0&amp;thumbfov=100", "link")</f>
        <v>link</v>
      </c>
    </row>
    <row r="4043" spans="1:4" x14ac:dyDescent="0.45">
      <c r="A4043" t="s">
        <v>4045</v>
      </c>
      <c r="B4043">
        <v>34.086173199999998</v>
      </c>
      <c r="C4043">
        <v>-118.38276260000001</v>
      </c>
      <c r="D4043" t="s">
        <v>5</v>
      </c>
    </row>
    <row r="4044" spans="1:4" x14ac:dyDescent="0.45">
      <c r="A4044" t="s">
        <v>4046</v>
      </c>
      <c r="B4044">
        <v>34.086321499999997</v>
      </c>
      <c r="C4044">
        <v>-118.3831278</v>
      </c>
      <c r="D4044" t="s">
        <v>5</v>
      </c>
    </row>
    <row r="4045" spans="1:4" x14ac:dyDescent="0.45">
      <c r="A4045" t="s">
        <v>4047</v>
      </c>
      <c r="B4045">
        <v>34.086345999999999</v>
      </c>
      <c r="C4045">
        <v>-118.3830056</v>
      </c>
      <c r="D4045" t="s">
        <v>5</v>
      </c>
    </row>
    <row r="4046" spans="1:4" x14ac:dyDescent="0.45">
      <c r="A4046" t="s">
        <v>4048</v>
      </c>
      <c r="B4046">
        <v>34.086512200000001</v>
      </c>
      <c r="C4046">
        <v>-118.3827919</v>
      </c>
      <c r="D4046" t="str">
        <f>HYPERLINK("https://streetviewpixels-pa.googleapis.com/v1/thumbnail?panoid=cE94RwrBlYWOqGzY8Mlihg&amp;cb_client=search.gws-prod.gps&amp;w=408&amp;h=240&amp;yaw=96.09886&amp;pitch=0&amp;thumbfov=100", "link")</f>
        <v>link</v>
      </c>
    </row>
    <row r="4047" spans="1:4" x14ac:dyDescent="0.45">
      <c r="A4047" t="s">
        <v>4049</v>
      </c>
      <c r="B4047">
        <v>34.086230999999998</v>
      </c>
      <c r="C4047">
        <v>-118.3815757</v>
      </c>
      <c r="D4047" t="s">
        <v>5</v>
      </c>
    </row>
    <row r="4048" spans="1:4" x14ac:dyDescent="0.45">
      <c r="A4048" t="s">
        <v>4050</v>
      </c>
      <c r="B4048">
        <v>34.080993999999997</v>
      </c>
      <c r="C4048">
        <v>-118.389261</v>
      </c>
      <c r="D4048" t="s">
        <v>5</v>
      </c>
    </row>
    <row r="4049" spans="1:4" x14ac:dyDescent="0.45">
      <c r="A4049" t="s">
        <v>4051</v>
      </c>
      <c r="B4049">
        <v>34.078147000000001</v>
      </c>
      <c r="C4049">
        <v>-118.38037</v>
      </c>
      <c r="D4049" t="str">
        <f>HYPERLINK("https://streetviewpixels-pa.googleapis.com/v1/thumbnail?panoid=7fIT0aMMMnq292fm1qr2Yw&amp;cb_client=search.gws-prod.gps&amp;w=408&amp;h=240&amp;yaw=244.24536&amp;pitch=0&amp;thumbfov=100", "link")</f>
        <v>link</v>
      </c>
    </row>
    <row r="4050" spans="1:4" x14ac:dyDescent="0.45">
      <c r="A4050" t="s">
        <v>4052</v>
      </c>
      <c r="B4050">
        <v>34.077738199999999</v>
      </c>
      <c r="C4050">
        <v>-118.3811209</v>
      </c>
      <c r="D4050" t="str">
        <f>HYPERLINK("https://streetviewpixels-pa.googleapis.com/v1/thumbnail?panoid=Mg7GxsP5CMHnqJjSUT8BCw&amp;cb_client=search.gws-prod.gps&amp;w=408&amp;h=240&amp;yaw=151.22908&amp;pitch=0&amp;thumbfov=100", "link")</f>
        <v>link</v>
      </c>
    </row>
    <row r="4051" spans="1:4" x14ac:dyDescent="0.45">
      <c r="A4051" t="s">
        <v>4053</v>
      </c>
      <c r="B4051">
        <v>34.077168999999998</v>
      </c>
      <c r="C4051">
        <v>-118.3828767</v>
      </c>
      <c r="D4051" t="str">
        <f>HYPERLINK("https://streetviewpixels-pa.googleapis.com/v1/thumbnail?panoid=INio9uaLnTq8CzsH7s8eEg&amp;cb_client=search.gws-prod.gps&amp;w=408&amp;h=240&amp;yaw=21.730377&amp;pitch=0&amp;thumbfov=100", "link")</f>
        <v>link</v>
      </c>
    </row>
    <row r="4052" spans="1:4" x14ac:dyDescent="0.45">
      <c r="A4052" t="s">
        <v>4054</v>
      </c>
      <c r="B4052">
        <v>34.080235399999999</v>
      </c>
      <c r="C4052">
        <v>-118.3893814</v>
      </c>
      <c r="D4052" t="s">
        <v>5</v>
      </c>
    </row>
    <row r="4053" spans="1:4" x14ac:dyDescent="0.45">
      <c r="A4053" t="s">
        <v>4055</v>
      </c>
      <c r="B4053">
        <v>34.086713400000001</v>
      </c>
      <c r="C4053">
        <v>-118.38181040000001</v>
      </c>
      <c r="D4053" t="str">
        <f>HYPERLINK("https://streetviewpixels-pa.googleapis.com/v1/thumbnail?panoid=NEfFu4OCZCf4cfps4iz7yw&amp;cb_client=search.gws-prod.gps&amp;w=408&amp;h=240&amp;yaw=311.33047&amp;pitch=0&amp;thumbfov=100", "link")</f>
        <v>link</v>
      </c>
    </row>
    <row r="4054" spans="1:4" x14ac:dyDescent="0.45">
      <c r="A4054" t="s">
        <v>4056</v>
      </c>
      <c r="B4054">
        <v>34.087028199999999</v>
      </c>
      <c r="C4054">
        <v>-118.3833623</v>
      </c>
      <c r="D4054" t="str">
        <f>HYPERLINK("https://streetviewpixels-pa.googleapis.com/v1/thumbnail?panoid=gpR0JM6UgIZRfucHUk-YpQ&amp;cb_client=search.gws-prod.gps&amp;w=408&amp;h=240&amp;yaw=258.84576&amp;pitch=0&amp;thumbfov=100", "link")</f>
        <v>link</v>
      </c>
    </row>
    <row r="4055" spans="1:4" x14ac:dyDescent="0.45">
      <c r="A4055" t="s">
        <v>4057</v>
      </c>
      <c r="B4055">
        <v>34.082045999999998</v>
      </c>
      <c r="C4055">
        <v>-118.3838205</v>
      </c>
      <c r="D4055" t="str">
        <f>HYPERLINK("https://streetviewpixels-pa.googleapis.com/v1/thumbnail?panoid=xrRxPQVxNg9lzQD8avkhJw&amp;cb_client=search.gws-prod.gps&amp;w=408&amp;h=240&amp;yaw=229.22983&amp;pitch=0&amp;thumbfov=100", "link")</f>
        <v>link</v>
      </c>
    </row>
    <row r="4056" spans="1:4" x14ac:dyDescent="0.45">
      <c r="A4056" t="s">
        <v>4058</v>
      </c>
      <c r="B4056">
        <v>34.081853500000001</v>
      </c>
      <c r="C4056">
        <v>-118.3839929</v>
      </c>
      <c r="D4056" t="str">
        <f>HYPERLINK("https://streetviewpixels-pa.googleapis.com/v1/thumbnail?panoid=xrRxPQVxNg9lzQD8avkhJw&amp;cb_client=search.gws-prod.gps&amp;w=408&amp;h=240&amp;yaw=229.22983&amp;pitch=0&amp;thumbfov=100", "link")</f>
        <v>link</v>
      </c>
    </row>
    <row r="4057" spans="1:4" x14ac:dyDescent="0.45">
      <c r="A4057" t="s">
        <v>4059</v>
      </c>
      <c r="B4057">
        <v>34.081540199999999</v>
      </c>
      <c r="C4057">
        <v>-118.3848192</v>
      </c>
      <c r="D4057" t="s">
        <v>5</v>
      </c>
    </row>
    <row r="4058" spans="1:4" x14ac:dyDescent="0.45">
      <c r="A4058" t="s">
        <v>4060</v>
      </c>
      <c r="B4058">
        <v>34.081462799999997</v>
      </c>
      <c r="C4058">
        <v>-118.38487929999999</v>
      </c>
      <c r="D4058" t="s">
        <v>5</v>
      </c>
    </row>
    <row r="4059" spans="1:4" x14ac:dyDescent="0.45">
      <c r="A4059" t="s">
        <v>4061</v>
      </c>
      <c r="B4059">
        <v>34.0823325</v>
      </c>
      <c r="C4059">
        <v>-118.3851044</v>
      </c>
      <c r="D4059" t="str">
        <f>HYPERLINK("https://streetviewpixels-pa.googleapis.com/v1/thumbnail?panoid=o0cgZLHSwFE8qe03zLkP5g&amp;cb_client=search.gws-prod.gps&amp;w=408&amp;h=240&amp;yaw=76.18901&amp;pitch=0&amp;thumbfov=100", "link")</f>
        <v>link</v>
      </c>
    </row>
    <row r="4060" spans="1:4" x14ac:dyDescent="0.45">
      <c r="A4060" t="s">
        <v>4062</v>
      </c>
      <c r="B4060">
        <v>34.0819902</v>
      </c>
      <c r="C4060">
        <v>-118.3824438</v>
      </c>
      <c r="D4060" t="str">
        <f>HYPERLINK("https://streetviewpixels-pa.googleapis.com/v1/thumbnail?panoid=6iODPSXOwNjI_lmySsssBQ&amp;cb_client=search.gws-prod.gps&amp;w=408&amp;h=240&amp;yaw=347.22906&amp;pitch=0&amp;thumbfov=100", "link")</f>
        <v>link</v>
      </c>
    </row>
    <row r="4061" spans="1:4" x14ac:dyDescent="0.45">
      <c r="A4061" t="s">
        <v>4063</v>
      </c>
      <c r="B4061">
        <v>34.081198800000003</v>
      </c>
      <c r="C4061">
        <v>-118.3851621</v>
      </c>
      <c r="D4061" t="str">
        <f>HYPERLINK("https://streetviewpixels-pa.googleapis.com/v1/thumbnail?panoid=ROfuwIjGl8C7tUyMjnLA0w&amp;cb_client=search.gws-prod.gps&amp;w=408&amp;h=240&amp;yaw=94.207726&amp;pitch=0&amp;thumbfov=100", "link")</f>
        <v>link</v>
      </c>
    </row>
    <row r="4062" spans="1:4" x14ac:dyDescent="0.45">
      <c r="A4062" t="s">
        <v>4064</v>
      </c>
      <c r="B4062">
        <v>34.081026100000003</v>
      </c>
      <c r="C4062">
        <v>-118.3850778</v>
      </c>
      <c r="D4062" t="str">
        <f>HYPERLINK("https://streetviewpixels-pa.googleapis.com/v1/thumbnail?panoid=ZhcDHjlAkVLVeLMaohILUg&amp;cb_client=search.gws-prod.gps&amp;w=408&amp;h=240&amp;yaw=353.8411&amp;pitch=0&amp;thumbfov=100", "link")</f>
        <v>link</v>
      </c>
    </row>
    <row r="4063" spans="1:4" x14ac:dyDescent="0.45">
      <c r="A4063" t="s">
        <v>4065</v>
      </c>
      <c r="B4063">
        <v>34.083779799999903</v>
      </c>
      <c r="C4063">
        <v>-118.38353859999999</v>
      </c>
      <c r="D4063" t="s">
        <v>5</v>
      </c>
    </row>
    <row r="4064" spans="1:4" x14ac:dyDescent="0.45">
      <c r="A4064" t="s">
        <v>4066</v>
      </c>
      <c r="B4064">
        <v>34.082908600000003</v>
      </c>
      <c r="C4064">
        <v>-118.3857606</v>
      </c>
      <c r="D4064" t="s">
        <v>5</v>
      </c>
    </row>
    <row r="4065" spans="1:4" x14ac:dyDescent="0.45">
      <c r="A4065" t="s">
        <v>4067</v>
      </c>
      <c r="B4065">
        <v>34.083939700000002</v>
      </c>
      <c r="C4065">
        <v>-118.38353859999999</v>
      </c>
      <c r="D4065" t="s">
        <v>5</v>
      </c>
    </row>
    <row r="4066" spans="1:4" x14ac:dyDescent="0.45">
      <c r="A4066" t="s">
        <v>4068</v>
      </c>
      <c r="B4066">
        <v>34.083000200000001</v>
      </c>
      <c r="C4066">
        <v>-118.3858651</v>
      </c>
      <c r="D4066" t="s">
        <v>5</v>
      </c>
    </row>
    <row r="4067" spans="1:4" x14ac:dyDescent="0.45">
      <c r="A4067" t="s">
        <v>4069</v>
      </c>
      <c r="B4067">
        <v>34.083830499999998</v>
      </c>
      <c r="C4067">
        <v>-118.38477109999999</v>
      </c>
      <c r="D4067" t="s">
        <v>5</v>
      </c>
    </row>
    <row r="4068" spans="1:4" x14ac:dyDescent="0.45">
      <c r="A4068" t="s">
        <v>4070</v>
      </c>
      <c r="B4068">
        <v>34.083384600000002</v>
      </c>
      <c r="C4068">
        <v>-118.3855927</v>
      </c>
      <c r="D4068" t="s">
        <v>5</v>
      </c>
    </row>
    <row r="4069" spans="1:4" x14ac:dyDescent="0.45">
      <c r="A4069" t="s">
        <v>4071</v>
      </c>
      <c r="B4069">
        <v>34.081027399999897</v>
      </c>
      <c r="C4069">
        <v>-118.3860339</v>
      </c>
      <c r="D4069" t="str">
        <f>HYPERLINK("https://streetviewpixels-pa.googleapis.com/v1/thumbnail?panoid=-UdrDKR6HVFGm0GQSgRXLg&amp;cb_client=search.gws-prod.gps&amp;w=408&amp;h=240&amp;yaw=346.80942&amp;pitch=0&amp;thumbfov=100", "link")</f>
        <v>link</v>
      </c>
    </row>
    <row r="4070" spans="1:4" x14ac:dyDescent="0.45">
      <c r="A4070" t="s">
        <v>4072</v>
      </c>
      <c r="B4070">
        <v>34.080568200000002</v>
      </c>
      <c r="C4070">
        <v>-118.3856712</v>
      </c>
      <c r="D4070" t="str">
        <f>HYPERLINK("https://streetviewpixels-pa.googleapis.com/v1/thumbnail?panoid=-UdrDKR6HVFGm0GQSgRXLg&amp;cb_client=search.gws-prod.gps&amp;w=408&amp;h=240&amp;yaw=172.43121&amp;pitch=0&amp;thumbfov=100", "link")</f>
        <v>link</v>
      </c>
    </row>
    <row r="4071" spans="1:4" x14ac:dyDescent="0.45">
      <c r="A4071" t="s">
        <v>4073</v>
      </c>
      <c r="B4071">
        <v>34.084287699999997</v>
      </c>
      <c r="C4071">
        <v>-118.3842233</v>
      </c>
      <c r="D4071" t="s">
        <v>5</v>
      </c>
    </row>
    <row r="4072" spans="1:4" x14ac:dyDescent="0.45">
      <c r="A4072" t="s">
        <v>4074</v>
      </c>
      <c r="B4072">
        <v>34.084259000000003</v>
      </c>
      <c r="C4072">
        <v>-118.3844953</v>
      </c>
      <c r="D4072" t="str">
        <f>HYPERLINK("https://streetviewpixels-pa.googleapis.com/v1/thumbnail?panoid=azAvxm0OOVlpHPhB2-OAhQ&amp;cb_client=search.gws-prod.gps&amp;w=408&amp;h=240&amp;yaw=179.30159&amp;pitch=0&amp;thumbfov=100", "link")</f>
        <v>link</v>
      </c>
    </row>
    <row r="4073" spans="1:4" x14ac:dyDescent="0.45">
      <c r="A4073" t="s">
        <v>4075</v>
      </c>
      <c r="B4073">
        <v>34.082664200000004</v>
      </c>
      <c r="C4073">
        <v>-118.3868708</v>
      </c>
      <c r="D4073" t="s">
        <v>5</v>
      </c>
    </row>
    <row r="4074" spans="1:4" x14ac:dyDescent="0.45">
      <c r="A4074" t="s">
        <v>4076</v>
      </c>
      <c r="B4074">
        <v>34.081532099999897</v>
      </c>
      <c r="C4074">
        <v>-118.3869777</v>
      </c>
      <c r="D4074" t="str">
        <f>HYPERLINK("https://streetviewpixels-pa.googleapis.com/v1/thumbnail?panoid=6yoHWwf37QhFMiN9_e-mKQ&amp;cb_client=search.gws-prod.gps&amp;w=408&amp;h=240&amp;yaw=237.1069&amp;pitch=0&amp;thumbfov=100", "link")</f>
        <v>link</v>
      </c>
    </row>
    <row r="4075" spans="1:4" x14ac:dyDescent="0.45">
      <c r="A4075" t="s">
        <v>4077</v>
      </c>
      <c r="B4075">
        <v>34.087350700000002</v>
      </c>
      <c r="C4075">
        <v>-118.38093670000001</v>
      </c>
      <c r="D4075" t="s">
        <v>5</v>
      </c>
    </row>
    <row r="4076" spans="1:4" x14ac:dyDescent="0.45">
      <c r="A4076" t="s">
        <v>4078</v>
      </c>
      <c r="B4076">
        <v>34.092935199999999</v>
      </c>
      <c r="C4076">
        <v>-118.3793163</v>
      </c>
      <c r="D4076" t="str">
        <f>HYPERLINK("https://streetviewpixels-pa.googleapis.com/v1/thumbnail?panoid=1vqCU6kVfQ3W7PEf7lwvQA&amp;cb_client=search.gws-prod.gps&amp;w=408&amp;h=240&amp;yaw=236.64595&amp;pitch=0&amp;thumbfov=100", "link")</f>
        <v>link</v>
      </c>
    </row>
    <row r="4077" spans="1:4" x14ac:dyDescent="0.45">
      <c r="A4077" t="s">
        <v>4079</v>
      </c>
      <c r="B4077">
        <v>34.088666500000002</v>
      </c>
      <c r="C4077">
        <v>-118.37893529999999</v>
      </c>
      <c r="D4077" t="str">
        <f>HYPERLINK("https://streetviewpixels-pa.googleapis.com/v1/thumbnail?panoid=1llgEKF7JzBm5kmvm433Vw&amp;cb_client=search.gws-prod.gps&amp;w=408&amp;h=240&amp;yaw=20.679028&amp;pitch=0&amp;thumbfov=100", "link")</f>
        <v>link</v>
      </c>
    </row>
    <row r="4078" spans="1:4" x14ac:dyDescent="0.45">
      <c r="A4078" t="s">
        <v>4080</v>
      </c>
      <c r="B4078">
        <v>34.086813900000003</v>
      </c>
      <c r="C4078">
        <v>-118.3808454</v>
      </c>
      <c r="D4078" t="s">
        <v>5</v>
      </c>
    </row>
    <row r="4079" spans="1:4" x14ac:dyDescent="0.45">
      <c r="A4079" t="s">
        <v>4081</v>
      </c>
      <c r="B4079">
        <v>34.090935799999997</v>
      </c>
      <c r="C4079">
        <v>-118.3894363</v>
      </c>
      <c r="D4079" t="str">
        <f>HYPERLINK("https://streetviewpixels-pa.googleapis.com/v1/thumbnail?panoid=TIUs0ze10ugdvUMsLeFWew&amp;cb_client=search.gws-prod.gps&amp;w=408&amp;h=240&amp;yaw=44.821346&amp;pitch=0&amp;thumbfov=100", "link")</f>
        <v>link</v>
      </c>
    </row>
    <row r="4080" spans="1:4" x14ac:dyDescent="0.45">
      <c r="A4080" t="s">
        <v>4082</v>
      </c>
      <c r="B4080">
        <v>34.0878522</v>
      </c>
      <c r="C4080">
        <v>-118.3791666</v>
      </c>
      <c r="D4080" t="s">
        <v>5</v>
      </c>
    </row>
    <row r="4081" spans="1:4" x14ac:dyDescent="0.45">
      <c r="A4081" t="s">
        <v>4083</v>
      </c>
      <c r="B4081">
        <v>34.090328900000003</v>
      </c>
      <c r="C4081">
        <v>-118.389475</v>
      </c>
      <c r="D4081" t="str">
        <f>HYPERLINK("https://streetviewpixels-pa.googleapis.com/v1/thumbnail?panoid=4nwH3nhhG-mvWCfkZfFjBg&amp;cb_client=search.gws-prod.gps&amp;w=408&amp;h=240&amp;yaw=186.21916&amp;pitch=0&amp;thumbfov=100", "link")</f>
        <v>link</v>
      </c>
    </row>
    <row r="4082" spans="1:4" x14ac:dyDescent="0.45">
      <c r="A4082" t="s">
        <v>4084</v>
      </c>
      <c r="B4082">
        <v>34.088991399999998</v>
      </c>
      <c r="C4082">
        <v>-118.3780608</v>
      </c>
      <c r="D4082" t="s">
        <v>5</v>
      </c>
    </row>
    <row r="4083" spans="1:4" x14ac:dyDescent="0.45">
      <c r="A4083" t="s">
        <v>4085</v>
      </c>
      <c r="B4083">
        <v>34.090297</v>
      </c>
      <c r="C4083">
        <v>-118.377408</v>
      </c>
      <c r="D4083" t="str">
        <f>HYPERLINK("https://streetviewpixels-pa.googleapis.com/v1/thumbnail?panoid=BPjOf2H6GqSKtIwU4RlBow&amp;cb_client=search.gws-prod.gps&amp;w=408&amp;h=240&amp;yaw=172.2816&amp;pitch=0&amp;thumbfov=100", "link")</f>
        <v>link</v>
      </c>
    </row>
    <row r="4084" spans="1:4" x14ac:dyDescent="0.45">
      <c r="A4084" t="s">
        <v>4086</v>
      </c>
      <c r="B4084">
        <v>34.089203099999999</v>
      </c>
      <c r="C4084">
        <v>-118.37737610000001</v>
      </c>
      <c r="D4084" t="str">
        <f>HYPERLINK("https://streetviewpixels-pa.googleapis.com/v1/thumbnail?panoid=6qmcNj_mQvLuJwDbhYy52g&amp;cb_client=search.gws-prod.gps&amp;w=408&amp;h=240&amp;yaw=346.81677&amp;pitch=0&amp;thumbfov=100", "link")</f>
        <v>link</v>
      </c>
    </row>
    <row r="4085" spans="1:4" x14ac:dyDescent="0.45">
      <c r="A4085" t="s">
        <v>4087</v>
      </c>
      <c r="B4085">
        <v>34.093686699999999</v>
      </c>
      <c r="C4085">
        <v>-118.37795680000001</v>
      </c>
      <c r="D4085" t="str">
        <f>HYPERLINK("https://streetviewpixels-pa.googleapis.com/v1/thumbnail?panoid=Slxa7j0P4WG8P7FRj_3xdQ&amp;cb_client=search.gws-prod.gps&amp;w=408&amp;h=240&amp;yaw=338.07733&amp;pitch=0&amp;thumbfov=100", "link")</f>
        <v>link</v>
      </c>
    </row>
    <row r="4086" spans="1:4" x14ac:dyDescent="0.45">
      <c r="A4086" t="s">
        <v>4088</v>
      </c>
      <c r="B4086">
        <v>34.090822299999999</v>
      </c>
      <c r="C4086">
        <v>-118.3836975</v>
      </c>
      <c r="D4086" t="str">
        <f>HYPERLINK("https://streetviewpixels-pa.googleapis.com/v1/thumbnail?panoid=LCGT9pVcJqLF0tz9VjYJ5A&amp;cb_client=search.gws-prod.gps&amp;w=408&amp;h=240&amp;yaw=10.0915165&amp;pitch=0&amp;thumbfov=100", "link")</f>
        <v>link</v>
      </c>
    </row>
    <row r="4087" spans="1:4" x14ac:dyDescent="0.45">
      <c r="A4087" t="s">
        <v>4089</v>
      </c>
      <c r="B4087">
        <v>34.090242199999999</v>
      </c>
      <c r="C4087">
        <v>-118.3841326</v>
      </c>
      <c r="D4087" t="str">
        <f>HYPERLINK("https://streetviewpixels-pa.googleapis.com/v1/thumbnail?panoid=NimyXEBerUEF3yGuXEahCw&amp;cb_client=search.gws-prod.gps&amp;w=408&amp;h=240&amp;yaw=335.43024&amp;pitch=0&amp;thumbfov=100", "link")</f>
        <v>link</v>
      </c>
    </row>
    <row r="4088" spans="1:4" x14ac:dyDescent="0.45">
      <c r="A4088" t="s">
        <v>4090</v>
      </c>
      <c r="B4088">
        <v>34.090229800000003</v>
      </c>
      <c r="C4088">
        <v>-118.38483239999999</v>
      </c>
      <c r="D4088" t="str">
        <f>HYPERLINK("https://lh5.googleusercontent.com/p/AF1QipPqmIvYYo7ISx2xalp-jwkn85a4pkjo1mhHsU50=w408-h245-k-no", "link")</f>
        <v>link</v>
      </c>
    </row>
    <row r="4089" spans="1:4" x14ac:dyDescent="0.45">
      <c r="A4089" t="s">
        <v>4091</v>
      </c>
      <c r="B4089">
        <v>34.091462499999999</v>
      </c>
      <c r="C4089">
        <v>-118.38249070000001</v>
      </c>
      <c r="D4089" t="str">
        <f>HYPERLINK("https://lh5.googleusercontent.com/p/AF1QipNa4om8cA3tGETatPR_RrxfO4n1i4Uh_PV88jNm=w426-h240-k-no", "link")</f>
        <v>link</v>
      </c>
    </row>
    <row r="4090" spans="1:4" x14ac:dyDescent="0.45">
      <c r="A4090" t="s">
        <v>4092</v>
      </c>
      <c r="B4090">
        <v>34.091513399999997</v>
      </c>
      <c r="C4090">
        <v>-118.3824139</v>
      </c>
      <c r="D4090" t="str">
        <f>HYPERLINK("https://lh5.googleusercontent.com/p/AF1QipNa4om8cA3tGETatPR_RrxfO4n1i4Uh_PV88jNm=w426-h240-k-no", "link")</f>
        <v>link</v>
      </c>
    </row>
    <row r="4091" spans="1:4" x14ac:dyDescent="0.45">
      <c r="A4091" t="s">
        <v>4093</v>
      </c>
      <c r="B4091">
        <v>34.090796999999903</v>
      </c>
      <c r="C4091">
        <v>-118.38210100000001</v>
      </c>
      <c r="D4091" t="str">
        <f>HYPERLINK("https://streetviewpixels-pa.googleapis.com/v1/thumbnail?panoid=JZVMkgDnIk34VqYl1lKvaA&amp;cb_client=search.gws-prod.gps&amp;w=408&amp;h=240&amp;yaw=5.3404293&amp;pitch=0&amp;thumbfov=100", "link")</f>
        <v>link</v>
      </c>
    </row>
    <row r="4092" spans="1:4" x14ac:dyDescent="0.45">
      <c r="A4092" t="s">
        <v>4094</v>
      </c>
      <c r="B4092">
        <v>34.090179499999998</v>
      </c>
      <c r="C4092">
        <v>-118.3852763</v>
      </c>
      <c r="D4092" t="s">
        <v>5</v>
      </c>
    </row>
    <row r="4093" spans="1:4" x14ac:dyDescent="0.45">
      <c r="A4093" t="s">
        <v>4095</v>
      </c>
      <c r="B4093">
        <v>34.091860699999998</v>
      </c>
      <c r="C4093">
        <v>-118.3817396</v>
      </c>
      <c r="D4093" t="str">
        <f>HYPERLINK("https://streetviewpixels-pa.googleapis.com/v1/thumbnail?panoid=9K9SBJF_EUdrWPdlVicizA&amp;cb_client=search.gws-prod.gps&amp;w=408&amp;h=240&amp;yaw=330.154&amp;pitch=0&amp;thumbfov=100", "link")</f>
        <v>link</v>
      </c>
    </row>
    <row r="4094" spans="1:4" x14ac:dyDescent="0.45">
      <c r="A4094" t="s">
        <v>4096</v>
      </c>
      <c r="B4094">
        <v>34.091125699999999</v>
      </c>
      <c r="C4094">
        <v>-118.381332</v>
      </c>
      <c r="D4094" t="str">
        <f>HYPERLINK("https://streetviewpixels-pa.googleapis.com/v1/thumbnail?panoid=9K9SBJF_EUdrWPdlVicizA&amp;cb_client=search.gws-prod.gps&amp;w=408&amp;h=240&amp;yaw=171.46983&amp;pitch=0&amp;thumbfov=100", "link")</f>
        <v>link</v>
      </c>
    </row>
    <row r="4095" spans="1:4" x14ac:dyDescent="0.45">
      <c r="A4095" t="s">
        <v>4097</v>
      </c>
      <c r="B4095">
        <v>34.091183099999903</v>
      </c>
      <c r="C4095">
        <v>-118.3861448</v>
      </c>
      <c r="D4095" t="s">
        <v>5</v>
      </c>
    </row>
    <row r="4096" spans="1:4" x14ac:dyDescent="0.45">
      <c r="A4096" t="s">
        <v>4098</v>
      </c>
      <c r="B4096">
        <v>34.091371500000001</v>
      </c>
      <c r="C4096">
        <v>-118.38640770000001</v>
      </c>
      <c r="D4096" t="str">
        <f>HYPERLINK("https://streetviewpixels-pa.googleapis.com/v1/thumbnail?panoid=PhoZ7omiJgtRewEuYccYEg&amp;cb_client=search.gws-prod.gps&amp;w=408&amp;h=240&amp;yaw=103.57905&amp;pitch=0&amp;thumbfov=100", "link")</f>
        <v>link</v>
      </c>
    </row>
    <row r="4097" spans="1:4" x14ac:dyDescent="0.45">
      <c r="A4097" t="s">
        <v>4099</v>
      </c>
      <c r="B4097">
        <v>34.090990699999999</v>
      </c>
      <c r="C4097">
        <v>-118.38714469999999</v>
      </c>
      <c r="D4097" t="s">
        <v>5</v>
      </c>
    </row>
    <row r="4098" spans="1:4" x14ac:dyDescent="0.45">
      <c r="A4098" t="s">
        <v>4100</v>
      </c>
      <c r="B4098">
        <v>34.090775600000001</v>
      </c>
      <c r="C4098">
        <v>-118.38715089999999</v>
      </c>
      <c r="D4098" t="str">
        <f>HYPERLINK("https://streetviewpixels-pa.googleapis.com/v1/thumbnail?panoid=T-P-fgPUM2HH01DimZ3Gjw&amp;cb_client=search.gws-prod.gps&amp;w=408&amp;h=240&amp;yaw=352.12622&amp;pitch=0&amp;thumbfov=100", "link")</f>
        <v>link</v>
      </c>
    </row>
    <row r="4099" spans="1:4" x14ac:dyDescent="0.45">
      <c r="A4099" t="s">
        <v>4101</v>
      </c>
      <c r="B4099">
        <v>34.092348100000002</v>
      </c>
      <c r="C4099">
        <v>-118.38061709999999</v>
      </c>
      <c r="D4099" t="s">
        <v>5</v>
      </c>
    </row>
    <row r="4100" spans="1:4" x14ac:dyDescent="0.45">
      <c r="A4100" t="s">
        <v>4102</v>
      </c>
      <c r="B4100">
        <v>34.090933299999897</v>
      </c>
      <c r="C4100">
        <v>-118.3798541</v>
      </c>
      <c r="D4100" t="str">
        <f>HYPERLINK("https://streetviewpixels-pa.googleapis.com/v1/thumbnail?panoid=oSsT1lUnH2uBnbPG1fgMvA&amp;cb_client=search.gws-prod.gps&amp;w=408&amp;h=240&amp;yaw=31.767746&amp;pitch=0&amp;thumbfov=100", "link")</f>
        <v>link</v>
      </c>
    </row>
    <row r="4101" spans="1:4" x14ac:dyDescent="0.45">
      <c r="A4101" t="s">
        <v>4103</v>
      </c>
      <c r="B4101">
        <v>34.090108600000001</v>
      </c>
      <c r="C4101">
        <v>-118.3879127</v>
      </c>
      <c r="D4101" t="str">
        <f>HYPERLINK("https://lh5.googleusercontent.com/p/AF1QipOFDAzD9AQNNnTOxAoOkLRwrSMhUFS5PeOOA-1A=w408-h544-k-no", "link")</f>
        <v>link</v>
      </c>
    </row>
    <row r="4102" spans="1:4" x14ac:dyDescent="0.45">
      <c r="A4102" t="s">
        <v>4104</v>
      </c>
      <c r="B4102">
        <v>34.0902107</v>
      </c>
      <c r="C4102">
        <v>-118.3882918</v>
      </c>
      <c r="D4102" t="str">
        <f>HYPERLINK("https://streetviewpixels-pa.googleapis.com/v1/thumbnail?panoid=RGGgWbTDw6J__R3Ti0_EuQ&amp;cb_client=search.gws-prod.gps&amp;w=408&amp;h=240&amp;yaw=106.61459&amp;pitch=0&amp;thumbfov=100", "link")</f>
        <v>link</v>
      </c>
    </row>
    <row r="4103" spans="1:4" x14ac:dyDescent="0.45">
      <c r="A4103" t="s">
        <v>4105</v>
      </c>
      <c r="B4103">
        <v>34.0909981</v>
      </c>
      <c r="C4103">
        <v>-118.3883943</v>
      </c>
      <c r="D4103" t="str">
        <f>HYPERLINK("https://streetviewpixels-pa.googleapis.com/v1/thumbnail?panoid=gnDQ8Mtv3z32xaIfJZg3mg&amp;cb_client=search.gws-prod.gps&amp;w=408&amp;h=240&amp;yaw=344.39178&amp;pitch=0&amp;thumbfov=100", "link")</f>
        <v>link</v>
      </c>
    </row>
    <row r="4104" spans="1:4" x14ac:dyDescent="0.45">
      <c r="A4104" t="s">
        <v>4106</v>
      </c>
      <c r="B4104">
        <v>34.089614500000003</v>
      </c>
      <c r="C4104">
        <v>-118.3770109</v>
      </c>
      <c r="D4104" t="s">
        <v>5</v>
      </c>
    </row>
    <row r="4105" spans="1:4" x14ac:dyDescent="0.45">
      <c r="A4105" t="s">
        <v>4107</v>
      </c>
      <c r="B4105">
        <v>34.089603199999999</v>
      </c>
      <c r="C4105">
        <v>-118.37673700000001</v>
      </c>
      <c r="D4105" t="s">
        <v>5</v>
      </c>
    </row>
    <row r="4106" spans="1:4" x14ac:dyDescent="0.45">
      <c r="A4106" t="s">
        <v>4108</v>
      </c>
      <c r="B4106">
        <v>34.088632099999998</v>
      </c>
      <c r="C4106">
        <v>-118.3771022</v>
      </c>
      <c r="D4106" t="s">
        <v>5</v>
      </c>
    </row>
    <row r="4107" spans="1:4" x14ac:dyDescent="0.45">
      <c r="A4107" t="s">
        <v>4109</v>
      </c>
      <c r="B4107">
        <v>34.088940600000001</v>
      </c>
      <c r="C4107">
        <v>-118.3768283</v>
      </c>
      <c r="D4107" t="s">
        <v>5</v>
      </c>
    </row>
    <row r="4108" spans="1:4" x14ac:dyDescent="0.45">
      <c r="A4108" t="s">
        <v>4110</v>
      </c>
      <c r="B4108">
        <v>34.093783299999998</v>
      </c>
      <c r="C4108">
        <v>-118.37653659999999</v>
      </c>
      <c r="D4108" t="str">
        <f>HYPERLINK("https://lh5.googleusercontent.com/p/AF1QipMEEezOSe6WGsfvoIAFUl4AqFKQXK-vXvEgmAcr=w408-h544-k-no", "link")</f>
        <v>link</v>
      </c>
    </row>
    <row r="4109" spans="1:4" x14ac:dyDescent="0.45">
      <c r="A4109" t="s">
        <v>4111</v>
      </c>
      <c r="B4109">
        <v>34.094474900000002</v>
      </c>
      <c r="C4109">
        <v>-118.3725523</v>
      </c>
      <c r="D4109" t="str">
        <f>HYPERLINK("https://streetviewpixels-pa.googleapis.com/v1/thumbnail?panoid=6t-0VPl1ZIxJ6wgcdcpeXA&amp;cb_client=search.gws-prod.gps&amp;w=408&amp;h=240&amp;yaw=185.22958&amp;pitch=0&amp;thumbfov=100", "link")</f>
        <v>link</v>
      </c>
    </row>
    <row r="4110" spans="1:4" x14ac:dyDescent="0.45">
      <c r="A4110" t="s">
        <v>4112</v>
      </c>
      <c r="B4110">
        <v>34.091141200000003</v>
      </c>
      <c r="C4110">
        <v>-118.37331330000001</v>
      </c>
      <c r="D4110" t="s">
        <v>5</v>
      </c>
    </row>
    <row r="4111" spans="1:4" x14ac:dyDescent="0.45">
      <c r="A4111" t="s">
        <v>4113</v>
      </c>
      <c r="B4111">
        <v>34.090501600000003</v>
      </c>
      <c r="C4111">
        <v>-118.37331330000001</v>
      </c>
      <c r="D4111" t="s">
        <v>5</v>
      </c>
    </row>
    <row r="4112" spans="1:4" x14ac:dyDescent="0.45">
      <c r="A4112" t="s">
        <v>4114</v>
      </c>
      <c r="B4112">
        <v>34.0904332</v>
      </c>
      <c r="C4112">
        <v>-118.37294799999999</v>
      </c>
      <c r="D4112" t="str">
        <f>HYPERLINK("https://lh5.googleusercontent.com/p/AF1QipPerfmrU6ezdNRZx_nLGkgWqPKqxxPGFcF5bhbn=w408-h544-k-no", "link")</f>
        <v>link</v>
      </c>
    </row>
    <row r="4113" spans="1:4" x14ac:dyDescent="0.45">
      <c r="A4113" t="s">
        <v>4115</v>
      </c>
      <c r="B4113">
        <v>34.090966799999997</v>
      </c>
      <c r="C4113">
        <v>-118.372406</v>
      </c>
      <c r="D4113" t="str">
        <f>HYPERLINK("https://streetviewpixels-pa.googleapis.com/v1/thumbnail?panoid=K08i73nOWFekAYelyHsOsQ&amp;cb_client=search.gws-prod.gps&amp;w=408&amp;h=240&amp;yaw=95.95873&amp;pitch=0&amp;thumbfov=100", "link")</f>
        <v>link</v>
      </c>
    </row>
    <row r="4114" spans="1:4" x14ac:dyDescent="0.45">
      <c r="A4114" t="s">
        <v>4116</v>
      </c>
      <c r="B4114">
        <v>34.096215899999997</v>
      </c>
      <c r="C4114">
        <v>-118.3716739</v>
      </c>
      <c r="D4114" t="str">
        <f>HYPERLINK("https://lh5.googleusercontent.com/p/AF1QipP2t_mJKbohYFN9ARtXn7gnzunn3XCSE5-mHDk8=w408-h306-k-no", "link")</f>
        <v>link</v>
      </c>
    </row>
    <row r="4115" spans="1:4" x14ac:dyDescent="0.45">
      <c r="A4115" t="s">
        <v>4117</v>
      </c>
      <c r="B4115">
        <v>34.090867799999998</v>
      </c>
      <c r="C4115">
        <v>-118.37185239999999</v>
      </c>
      <c r="D4115" t="s">
        <v>5</v>
      </c>
    </row>
    <row r="4116" spans="1:4" x14ac:dyDescent="0.45">
      <c r="A4116" t="s">
        <v>4118</v>
      </c>
      <c r="B4116">
        <v>34.096129699999999</v>
      </c>
      <c r="C4116">
        <v>-118.3716105</v>
      </c>
      <c r="D4116" t="str">
        <f>HYPERLINK("https://lh5.googleusercontent.com/p/AF1QipP2t_mJKbohYFN9ARtXn7gnzunn3XCSE5-mHDk8=w408-h306-k-no", "link")</f>
        <v>link</v>
      </c>
    </row>
    <row r="4117" spans="1:4" x14ac:dyDescent="0.45">
      <c r="A4117" t="s">
        <v>4119</v>
      </c>
      <c r="B4117">
        <v>34.088053000000002</v>
      </c>
      <c r="C4117">
        <v>-118.3761307</v>
      </c>
      <c r="D4117" t="str">
        <f>HYPERLINK("https://streetviewpixels-pa.googleapis.com/v1/thumbnail?panoid=z8fTirNulcQl4po0jY6LrQ&amp;cb_client=search.gws-prod.gps&amp;w=408&amp;h=240&amp;yaw=245.75565&amp;pitch=0&amp;thumbfov=100", "link")</f>
        <v>link</v>
      </c>
    </row>
    <row r="4118" spans="1:4" x14ac:dyDescent="0.45">
      <c r="A4118" t="s">
        <v>4120</v>
      </c>
      <c r="B4118">
        <v>34.096373300000003</v>
      </c>
      <c r="C4118">
        <v>-118.37106350000001</v>
      </c>
      <c r="D4118" t="str">
        <f>HYPERLINK("https://streetviewpixels-pa.googleapis.com/v1/thumbnail?panoid=Q_idqd4yMyReOtK1nYvtiA&amp;cb_client=search.gws-prod.gps&amp;w=408&amp;h=240&amp;yaw=303.69016&amp;pitch=0&amp;thumbfov=100", "link")</f>
        <v>link</v>
      </c>
    </row>
    <row r="4119" spans="1:4" x14ac:dyDescent="0.45">
      <c r="A4119" t="s">
        <v>4121</v>
      </c>
      <c r="B4119">
        <v>34.0902168</v>
      </c>
      <c r="C4119">
        <v>-118.3715785</v>
      </c>
      <c r="D4119" t="s">
        <v>5</v>
      </c>
    </row>
    <row r="4120" spans="1:4" x14ac:dyDescent="0.45">
      <c r="A4120" t="s">
        <v>4122</v>
      </c>
      <c r="B4120">
        <v>34.094711799999999</v>
      </c>
      <c r="C4120">
        <v>-118.37584769999999</v>
      </c>
      <c r="D4120" t="str">
        <f>HYPERLINK("https://streetviewpixels-pa.googleapis.com/v1/thumbnail?panoid=qpfJe5So99gXVVmJU5FnKg&amp;cb_client=search.gws-prod.gps&amp;w=408&amp;h=240&amp;yaw=49.13483&amp;pitch=0&amp;thumbfov=100", "link")</f>
        <v>link</v>
      </c>
    </row>
    <row r="4121" spans="1:4" x14ac:dyDescent="0.45">
      <c r="A4121" t="s">
        <v>4123</v>
      </c>
      <c r="B4121">
        <v>34.094887</v>
      </c>
      <c r="C4121">
        <v>-118.37531300000001</v>
      </c>
      <c r="D4121" t="s">
        <v>5</v>
      </c>
    </row>
    <row r="4122" spans="1:4" x14ac:dyDescent="0.45">
      <c r="A4122" t="s">
        <v>4124</v>
      </c>
      <c r="B4122">
        <v>34.094841099999996</v>
      </c>
      <c r="C4122">
        <v>-118.3751393</v>
      </c>
      <c r="D4122" t="s">
        <v>5</v>
      </c>
    </row>
    <row r="4123" spans="1:4" x14ac:dyDescent="0.45">
      <c r="A4123" t="s">
        <v>4125</v>
      </c>
      <c r="B4123">
        <v>34.091260699999999</v>
      </c>
      <c r="C4123">
        <v>-118.3742719</v>
      </c>
      <c r="D4123" t="s">
        <v>5</v>
      </c>
    </row>
    <row r="4124" spans="1:4" x14ac:dyDescent="0.45">
      <c r="A4124" t="s">
        <v>4126</v>
      </c>
      <c r="B4124">
        <v>34.090392100000003</v>
      </c>
      <c r="C4124">
        <v>-118.37518489999999</v>
      </c>
      <c r="D4124" t="s">
        <v>5</v>
      </c>
    </row>
    <row r="4125" spans="1:4" x14ac:dyDescent="0.45">
      <c r="A4125" t="s">
        <v>4127</v>
      </c>
      <c r="B4125">
        <v>34.095703299999997</v>
      </c>
      <c r="C4125">
        <v>-118.37322349999999</v>
      </c>
      <c r="D4125" t="str">
        <f>HYPERLINK("https://streetviewpixels-pa.googleapis.com/v1/thumbnail?panoid=D2-YSsFm-u6I03fJAW6AKw&amp;cb_client=search.gws-prod.gps&amp;w=408&amp;h=240&amp;yaw=340.16675&amp;pitch=0&amp;thumbfov=100", "link")</f>
        <v>link</v>
      </c>
    </row>
    <row r="4126" spans="1:4" x14ac:dyDescent="0.45">
      <c r="A4126" t="s">
        <v>4128</v>
      </c>
      <c r="B4126">
        <v>34.091101100000003</v>
      </c>
      <c r="C4126">
        <v>-118.3736328</v>
      </c>
      <c r="D4126" t="s">
        <v>5</v>
      </c>
    </row>
    <row r="4127" spans="1:4" x14ac:dyDescent="0.45">
      <c r="A4127" t="s">
        <v>4129</v>
      </c>
      <c r="B4127">
        <v>34.089832399999999</v>
      </c>
      <c r="C4127">
        <v>-118.37518489999999</v>
      </c>
      <c r="D4127" t="s">
        <v>5</v>
      </c>
    </row>
    <row r="4128" spans="1:4" x14ac:dyDescent="0.45">
      <c r="A4128" t="s">
        <v>4130</v>
      </c>
      <c r="B4128">
        <v>34.090419300000001</v>
      </c>
      <c r="C4128">
        <v>-118.3655069</v>
      </c>
      <c r="D4128" t="s">
        <v>5</v>
      </c>
    </row>
    <row r="4129" spans="1:4" x14ac:dyDescent="0.45">
      <c r="A4129" t="s">
        <v>4131</v>
      </c>
      <c r="B4129">
        <v>34.091121999999999</v>
      </c>
      <c r="C4129">
        <v>-118.36509599999999</v>
      </c>
      <c r="D4129" t="s">
        <v>5</v>
      </c>
    </row>
    <row r="4130" spans="1:4" x14ac:dyDescent="0.45">
      <c r="A4130" t="s">
        <v>4132</v>
      </c>
      <c r="B4130">
        <v>34.091122499999997</v>
      </c>
      <c r="C4130">
        <v>-118.3638177</v>
      </c>
      <c r="D4130" t="s">
        <v>5</v>
      </c>
    </row>
    <row r="4131" spans="1:4" x14ac:dyDescent="0.45">
      <c r="A4131" t="s">
        <v>4133</v>
      </c>
      <c r="B4131">
        <v>34.091105599999999</v>
      </c>
      <c r="C4131">
        <v>-118.3634069</v>
      </c>
      <c r="D4131" t="s">
        <v>5</v>
      </c>
    </row>
    <row r="4132" spans="1:4" x14ac:dyDescent="0.45">
      <c r="A4132" t="s">
        <v>4134</v>
      </c>
      <c r="B4132">
        <v>34.094715600000001</v>
      </c>
      <c r="C4132">
        <v>-118.3653949</v>
      </c>
      <c r="D4132" t="str">
        <f>HYPERLINK("https://streetviewpixels-pa.googleapis.com/v1/thumbnail?panoid=UjApmtBeiPOghFzdrX0ntw&amp;cb_client=search.gws-prod.gps&amp;w=408&amp;h=240&amp;yaw=209.35497&amp;pitch=0&amp;thumbfov=100", "link")</f>
        <v>link</v>
      </c>
    </row>
    <row r="4133" spans="1:4" x14ac:dyDescent="0.45">
      <c r="A4133" t="s">
        <v>4135</v>
      </c>
      <c r="B4133">
        <v>34.090665899999998</v>
      </c>
      <c r="C4133">
        <v>-118.3630873</v>
      </c>
      <c r="D4133" t="s">
        <v>5</v>
      </c>
    </row>
    <row r="4134" spans="1:4" x14ac:dyDescent="0.45">
      <c r="A4134" t="s">
        <v>4136</v>
      </c>
      <c r="B4134">
        <v>34.0910315</v>
      </c>
      <c r="C4134">
        <v>-118.3629047</v>
      </c>
      <c r="D4134" t="s">
        <v>5</v>
      </c>
    </row>
    <row r="4135" spans="1:4" x14ac:dyDescent="0.45">
      <c r="A4135" t="s">
        <v>4137</v>
      </c>
      <c r="B4135">
        <v>34.096402099999999</v>
      </c>
      <c r="C4135">
        <v>-118.37103020000001</v>
      </c>
      <c r="D4135" t="str">
        <f>HYPERLINK("https://streetviewpixels-pa.googleapis.com/v1/thumbnail?panoid=Q_idqd4yMyReOtK1nYvtiA&amp;cb_client=search.gws-prod.gps&amp;w=408&amp;h=240&amp;yaw=303.69016&amp;pitch=0&amp;thumbfov=100", "link")</f>
        <v>link</v>
      </c>
    </row>
    <row r="4136" spans="1:4" x14ac:dyDescent="0.45">
      <c r="A4136" t="s">
        <v>4138</v>
      </c>
      <c r="B4136">
        <v>34.096711499999898</v>
      </c>
      <c r="C4136">
        <v>-118.36906569999999</v>
      </c>
      <c r="D4136" t="str">
        <f>HYPERLINK("https://streetviewpixels-pa.googleapis.com/v1/thumbnail?panoid=aBZIKRj0zsqk58vlnhNmog&amp;cb_client=search.gws-prod.gps&amp;w=408&amp;h=240&amp;yaw=307.45676&amp;pitch=0&amp;thumbfov=100", "link")</f>
        <v>link</v>
      </c>
    </row>
    <row r="4137" spans="1:4" x14ac:dyDescent="0.45">
      <c r="A4137" t="s">
        <v>4139</v>
      </c>
      <c r="B4137">
        <v>34.090957400000001</v>
      </c>
      <c r="C4137">
        <v>-118.3624025</v>
      </c>
      <c r="D4137" t="s">
        <v>5</v>
      </c>
    </row>
    <row r="4138" spans="1:4" x14ac:dyDescent="0.45">
      <c r="A4138" t="s">
        <v>4140</v>
      </c>
      <c r="B4138">
        <v>34.097011299999998</v>
      </c>
      <c r="C4138">
        <v>-118.36849429999999</v>
      </c>
      <c r="D4138" t="str">
        <f>HYPERLINK("https://streetviewpixels-pa.googleapis.com/v1/thumbnail?panoid=2Z43HqlN62_e87gELnRY6Q&amp;cb_client=search.gws-prod.gps&amp;w=408&amp;h=240&amp;yaw=46.75884&amp;pitch=0&amp;thumbfov=100", "link")</f>
        <v>link</v>
      </c>
    </row>
    <row r="4139" spans="1:4" x14ac:dyDescent="0.45">
      <c r="A4139" t="s">
        <v>4141</v>
      </c>
      <c r="B4139">
        <v>34.090947999999997</v>
      </c>
      <c r="C4139">
        <v>-118.3694247</v>
      </c>
      <c r="D4139" t="s">
        <v>5</v>
      </c>
    </row>
    <row r="4140" spans="1:4" x14ac:dyDescent="0.45">
      <c r="A4140" t="s">
        <v>4142</v>
      </c>
      <c r="B4140">
        <v>34.090954600000003</v>
      </c>
      <c r="C4140">
        <v>-118.36943290000001</v>
      </c>
      <c r="D4140" t="s">
        <v>5</v>
      </c>
    </row>
    <row r="4141" spans="1:4" x14ac:dyDescent="0.45">
      <c r="A4141" t="s">
        <v>4143</v>
      </c>
      <c r="B4141">
        <v>34.090463200000002</v>
      </c>
      <c r="C4141">
        <v>-118.3697981</v>
      </c>
      <c r="D4141" t="str">
        <f>HYPERLINK("https://streetviewpixels-pa.googleapis.com/v1/thumbnail?panoid=YbTs1DgfNQEcG0EzpGFgqw&amp;cb_client=search.gws-prod.gps&amp;w=408&amp;h=240&amp;yaw=268.1254&amp;pitch=0&amp;thumbfov=100", "link")</f>
        <v>link</v>
      </c>
    </row>
    <row r="4142" spans="1:4" x14ac:dyDescent="0.45">
      <c r="A4142" t="s">
        <v>4144</v>
      </c>
      <c r="B4142">
        <v>34.090852300000002</v>
      </c>
      <c r="C4142">
        <v>-118.368246</v>
      </c>
      <c r="D4142" t="s">
        <v>5</v>
      </c>
    </row>
    <row r="4143" spans="1:4" x14ac:dyDescent="0.45">
      <c r="A4143" t="s">
        <v>4145</v>
      </c>
      <c r="B4143">
        <v>34.090869499999997</v>
      </c>
      <c r="C4143">
        <v>-118.3680177</v>
      </c>
      <c r="D4143" t="s">
        <v>5</v>
      </c>
    </row>
    <row r="4144" spans="1:4" x14ac:dyDescent="0.45">
      <c r="A4144" t="s">
        <v>4146</v>
      </c>
      <c r="B4144">
        <v>34.090226600000001</v>
      </c>
      <c r="C4144">
        <v>-118.3706797</v>
      </c>
      <c r="D4144" t="str">
        <f>HYPERLINK("https://streetviewpixels-pa.googleapis.com/v1/thumbnail?panoid=YhZHsiTfycOUAKUmT6eM-Q&amp;cb_client=search.gws-prod.gps&amp;w=408&amp;h=240&amp;yaw=271.05682&amp;pitch=0&amp;thumbfov=100", "link")</f>
        <v>link</v>
      </c>
    </row>
    <row r="4145" spans="1:4" x14ac:dyDescent="0.45">
      <c r="A4145" t="s">
        <v>4147</v>
      </c>
      <c r="B4145">
        <v>34.090234299999999</v>
      </c>
      <c r="C4145">
        <v>-118.3707112</v>
      </c>
      <c r="D4145" t="str">
        <f>HYPERLINK("https://streetviewpixels-pa.googleapis.com/v1/thumbnail?panoid=YhZHsiTfycOUAKUmT6eM-Q&amp;cb_client=search.gws-prod.gps&amp;w=408&amp;h=240&amp;yaw=271.05682&amp;pitch=0&amp;thumbfov=100", "link")</f>
        <v>link</v>
      </c>
    </row>
    <row r="4146" spans="1:4" x14ac:dyDescent="0.45">
      <c r="A4146" t="s">
        <v>4148</v>
      </c>
      <c r="B4146">
        <v>34.090961</v>
      </c>
      <c r="C4146">
        <v>-118.36765250000001</v>
      </c>
      <c r="D4146" t="s">
        <v>5</v>
      </c>
    </row>
    <row r="4147" spans="1:4" x14ac:dyDescent="0.45">
      <c r="A4147" t="s">
        <v>4149</v>
      </c>
      <c r="B4147">
        <v>34.090251299999998</v>
      </c>
      <c r="C4147">
        <v>-118.371122</v>
      </c>
      <c r="D4147" t="str">
        <f>HYPERLINK("https://streetviewpixels-pa.googleapis.com/v1/thumbnail?panoid=VLV6gMnJSf1X1O56FGiL8Q&amp;cb_client=search.gws-prod.gps&amp;w=408&amp;h=240&amp;yaw=140.94415&amp;pitch=0&amp;thumbfov=100", "link")</f>
        <v>link</v>
      </c>
    </row>
    <row r="4148" spans="1:4" x14ac:dyDescent="0.45">
      <c r="A4148" t="s">
        <v>4150</v>
      </c>
      <c r="B4148">
        <v>34.090239400000002</v>
      </c>
      <c r="C4148">
        <v>-118.3677091</v>
      </c>
      <c r="D4148" t="str">
        <f>HYPERLINK("https://streetviewpixels-pa.googleapis.com/v1/thumbnail?panoid=6PcCd8IQruX38a44sz5DXw&amp;cb_client=search.gws-prod.gps&amp;w=408&amp;h=240&amp;yaw=229.33344&amp;pitch=0&amp;thumbfov=100", "link")</f>
        <v>link</v>
      </c>
    </row>
    <row r="4149" spans="1:4" x14ac:dyDescent="0.45">
      <c r="A4149" t="s">
        <v>4151</v>
      </c>
      <c r="B4149">
        <v>34.090210900000002</v>
      </c>
      <c r="C4149">
        <v>-118.3675236</v>
      </c>
      <c r="D4149" t="str">
        <f>HYPERLINK("https://streetviewpixels-pa.googleapis.com/v1/thumbnail?panoid=bZP3SKH-5XHKonZ-Mag8jg&amp;cb_client=search.gws-prod.gps&amp;w=408&amp;h=240&amp;yaw=215.04239&amp;pitch=0&amp;thumbfov=100", "link")</f>
        <v>link</v>
      </c>
    </row>
    <row r="4150" spans="1:4" x14ac:dyDescent="0.45">
      <c r="A4150" t="s">
        <v>4152</v>
      </c>
      <c r="B4150">
        <v>34.090892699999998</v>
      </c>
      <c r="C4150">
        <v>-118.3672873</v>
      </c>
      <c r="D4150" t="s">
        <v>5</v>
      </c>
    </row>
    <row r="4151" spans="1:4" x14ac:dyDescent="0.45">
      <c r="A4151" t="s">
        <v>4153</v>
      </c>
      <c r="B4151">
        <v>34.091102599999999</v>
      </c>
      <c r="C4151">
        <v>-118.3668673</v>
      </c>
      <c r="D4151" t="s">
        <v>5</v>
      </c>
    </row>
    <row r="4152" spans="1:4" x14ac:dyDescent="0.45">
      <c r="A4152" t="s">
        <v>4154</v>
      </c>
      <c r="B4152">
        <v>34.091058500000003</v>
      </c>
      <c r="C4152">
        <v>-118.3667851</v>
      </c>
      <c r="D4152" t="s">
        <v>5</v>
      </c>
    </row>
    <row r="4153" spans="1:4" x14ac:dyDescent="0.45">
      <c r="A4153" t="s">
        <v>4155</v>
      </c>
      <c r="B4153">
        <v>34.097735999999998</v>
      </c>
      <c r="C4153">
        <v>-118.3600879</v>
      </c>
      <c r="D4153" t="str">
        <f>HYPERLINK("https://streetviewpixels-pa.googleapis.com/v1/thumbnail?panoid=P1EeQ1QYYKrcgP4_biDdog&amp;cb_client=search.gws-prod.gps&amp;w=408&amp;h=240&amp;yaw=87.21251&amp;pitch=0&amp;thumbfov=100", "link")</f>
        <v>link</v>
      </c>
    </row>
    <row r="4154" spans="1:4" x14ac:dyDescent="0.45">
      <c r="A4154" t="s">
        <v>4156</v>
      </c>
      <c r="B4154">
        <v>34.097517199999999</v>
      </c>
      <c r="C4154">
        <v>-118.3534123</v>
      </c>
      <c r="D4154" t="str">
        <f>HYPERLINK("https://lh5.googleusercontent.com/p/AF1QipMtWjlbp90drIvdgAZmKC3bvuKwPfUBQDzyPmJg=w408-h306-k-no", "link")</f>
        <v>link</v>
      </c>
    </row>
    <row r="4155" spans="1:4" x14ac:dyDescent="0.45">
      <c r="A4155" t="s">
        <v>4157</v>
      </c>
      <c r="B4155">
        <v>34.0971774</v>
      </c>
      <c r="C4155">
        <v>-118.3619916</v>
      </c>
      <c r="D4155" t="s">
        <v>5</v>
      </c>
    </row>
    <row r="4156" spans="1:4" x14ac:dyDescent="0.45">
      <c r="A4156" t="s">
        <v>4158</v>
      </c>
      <c r="B4156">
        <v>34.097653100000002</v>
      </c>
      <c r="C4156">
        <v>-118.35307109999999</v>
      </c>
      <c r="D4156" t="str">
        <f>HYPERLINK("https://streetviewpixels-pa.googleapis.com/v1/thumbnail?panoid=tmw656YtozpR2lW0RcC_QA&amp;cb_client=search.gws-prod.gps&amp;w=408&amp;h=240&amp;yaw=217.86226&amp;pitch=0&amp;thumbfov=100", "link")</f>
        <v>link</v>
      </c>
    </row>
    <row r="4157" spans="1:4" x14ac:dyDescent="0.45">
      <c r="A4157" t="s">
        <v>4159</v>
      </c>
      <c r="B4157">
        <v>34.097589499999998</v>
      </c>
      <c r="C4157">
        <v>-118.35227620000001</v>
      </c>
      <c r="D4157" t="str">
        <f>HYPERLINK("https://streetviewpixels-pa.googleapis.com/v1/thumbnail?panoid=_SdAupZN_AEodl6N-L9BTQ&amp;cb_client=search.gws-prod.gps&amp;w=408&amp;h=240&amp;yaw=36.390244&amp;pitch=0&amp;thumbfov=100", "link")</f>
        <v>link</v>
      </c>
    </row>
    <row r="4158" spans="1:4" x14ac:dyDescent="0.45">
      <c r="A4158" t="s">
        <v>4160</v>
      </c>
      <c r="B4158">
        <v>34.098679300000001</v>
      </c>
      <c r="C4158">
        <v>-118.35638899999999</v>
      </c>
      <c r="D4158" t="s">
        <v>5</v>
      </c>
    </row>
    <row r="4159" spans="1:4" x14ac:dyDescent="0.45">
      <c r="A4159" t="s">
        <v>4161</v>
      </c>
      <c r="B4159">
        <v>34.098710099999998</v>
      </c>
      <c r="C4159">
        <v>-118.3565131</v>
      </c>
      <c r="D4159" t="s">
        <v>5</v>
      </c>
    </row>
    <row r="4160" spans="1:4" x14ac:dyDescent="0.45">
      <c r="A4160" t="s">
        <v>4162</v>
      </c>
      <c r="B4160">
        <v>34.082198599999998</v>
      </c>
      <c r="C4160">
        <v>-118.35979210000001</v>
      </c>
      <c r="D4160" t="str">
        <f>HYPERLINK("https://streetviewpixels-pa.googleapis.com/v1/thumbnail?panoid=_97GGgs-rbK4BCmo3q0YRg&amp;cb_client=search.gws-prod.gps&amp;w=408&amp;h=240&amp;yaw=91.41431&amp;pitch=0&amp;thumbfov=100", "link")</f>
        <v>link</v>
      </c>
    </row>
    <row r="4161" spans="1:4" x14ac:dyDescent="0.45">
      <c r="A4161" t="s">
        <v>4163</v>
      </c>
      <c r="B4161">
        <v>34.098825400000003</v>
      </c>
      <c r="C4161">
        <v>-118.3528285</v>
      </c>
      <c r="D4161" t="s">
        <v>5</v>
      </c>
    </row>
    <row r="4162" spans="1:4" x14ac:dyDescent="0.45">
      <c r="A4162" t="s">
        <v>4164</v>
      </c>
      <c r="B4162">
        <v>34.098450800000002</v>
      </c>
      <c r="C4162">
        <v>-118.3624938</v>
      </c>
      <c r="D4162" t="s">
        <v>5</v>
      </c>
    </row>
    <row r="4163" spans="1:4" x14ac:dyDescent="0.45">
      <c r="A4163" t="s">
        <v>4165</v>
      </c>
      <c r="B4163">
        <v>34.097299800000002</v>
      </c>
      <c r="C4163">
        <v>-118.3650604</v>
      </c>
      <c r="D4163" t="str">
        <f>HYPERLINK("https://lh5.googleusercontent.com/p/AF1QipMii4JRndZBwVrXoV2LWjAk4WmF9fDIRzRI1L_s=w426-h240-k-no", "link")</f>
        <v>link</v>
      </c>
    </row>
    <row r="4164" spans="1:4" x14ac:dyDescent="0.45">
      <c r="A4164" t="s">
        <v>4166</v>
      </c>
      <c r="B4164">
        <v>34.090521000000003</v>
      </c>
      <c r="C4164">
        <v>-118.357201</v>
      </c>
      <c r="D4164" t="s">
        <v>5</v>
      </c>
    </row>
    <row r="4165" spans="1:4" x14ac:dyDescent="0.45">
      <c r="A4165" t="s">
        <v>4167</v>
      </c>
      <c r="B4165">
        <v>34.091487100000002</v>
      </c>
      <c r="C4165">
        <v>-118.3599938</v>
      </c>
      <c r="D4165" t="str">
        <f>HYPERLINK("https://streetviewpixels-pa.googleapis.com/v1/thumbnail?panoid=FNSV4qYUczJ93_sTZnFfqw&amp;cb_client=search.gws-prod.gps&amp;w=408&amp;h=240&amp;yaw=59.038326&amp;pitch=0&amp;thumbfov=100", "link")</f>
        <v>link</v>
      </c>
    </row>
    <row r="4166" spans="1:4" x14ac:dyDescent="0.45">
      <c r="A4166" t="s">
        <v>4168</v>
      </c>
      <c r="B4166">
        <v>34.091178900000003</v>
      </c>
      <c r="C4166">
        <v>-118.36100519999999</v>
      </c>
      <c r="D4166" t="s">
        <v>5</v>
      </c>
    </row>
    <row r="4167" spans="1:4" x14ac:dyDescent="0.45">
      <c r="A4167" t="s">
        <v>4169</v>
      </c>
      <c r="B4167">
        <v>34.091272099999998</v>
      </c>
      <c r="C4167">
        <v>-118.3609872</v>
      </c>
      <c r="D4167" t="s">
        <v>5</v>
      </c>
    </row>
    <row r="4168" spans="1:4" x14ac:dyDescent="0.45">
      <c r="A4168" t="s">
        <v>4170</v>
      </c>
      <c r="B4168">
        <v>34.091100400000002</v>
      </c>
      <c r="C4168">
        <v>-118.3619916</v>
      </c>
      <c r="D4168" t="str">
        <f>HYPERLINK("https://streetviewpixels-pa.googleapis.com/v1/thumbnail?panoid=v5-k_XLWtN8H82gQsX6jrA&amp;cb_client=search.gws-prod.gps&amp;w=408&amp;h=240&amp;yaw=335.03986&amp;pitch=0&amp;thumbfov=100", "link")</f>
        <v>link</v>
      </c>
    </row>
    <row r="4169" spans="1:4" x14ac:dyDescent="0.45">
      <c r="A4169" t="s">
        <v>4171</v>
      </c>
      <c r="B4169">
        <v>34.091400800000002</v>
      </c>
      <c r="C4169">
        <v>-118.3512171</v>
      </c>
      <c r="D4169" t="s">
        <v>5</v>
      </c>
    </row>
    <row r="4170" spans="1:4" x14ac:dyDescent="0.45">
      <c r="A4170" t="s">
        <v>4172</v>
      </c>
      <c r="B4170">
        <v>34.091607699999997</v>
      </c>
      <c r="C4170">
        <v>-118.3512118</v>
      </c>
      <c r="D4170" t="s">
        <v>5</v>
      </c>
    </row>
    <row r="4171" spans="1:4" x14ac:dyDescent="0.45">
      <c r="A4171" t="s">
        <v>4173</v>
      </c>
      <c r="B4171">
        <v>34.094119599999999</v>
      </c>
      <c r="C4171">
        <v>-118.3512171</v>
      </c>
      <c r="D4171" t="s">
        <v>5</v>
      </c>
    </row>
    <row r="4172" spans="1:4" x14ac:dyDescent="0.45">
      <c r="A4172" t="s">
        <v>4174</v>
      </c>
      <c r="B4172">
        <v>34.088915900000003</v>
      </c>
      <c r="C4172">
        <v>-118.3489142</v>
      </c>
      <c r="D4172" t="s">
        <v>5</v>
      </c>
    </row>
    <row r="4173" spans="1:4" x14ac:dyDescent="0.45">
      <c r="A4173" t="s">
        <v>4175</v>
      </c>
      <c r="B4173">
        <v>34.097552399999998</v>
      </c>
      <c r="C4173">
        <v>-118.35587409999999</v>
      </c>
      <c r="D4173" t="str">
        <f>HYPERLINK("https://streetviewpixels-pa.googleapis.com/v1/thumbnail?panoid=D9xCldLlRXR6Rbu2wIUXZg&amp;cb_client=search.gws-prod.gps&amp;w=408&amp;h=240&amp;yaw=66.356415&amp;pitch=0&amp;thumbfov=100", "link")</f>
        <v>link</v>
      </c>
    </row>
    <row r="4174" spans="1:4" x14ac:dyDescent="0.45">
      <c r="A4174" t="s">
        <v>4176</v>
      </c>
      <c r="B4174">
        <v>34.097586200000002</v>
      </c>
      <c r="C4174">
        <v>-118.3545044</v>
      </c>
      <c r="D4174" t="str">
        <f>HYPERLINK("https://streetviewpixels-pa.googleapis.com/v1/thumbnail?panoid=-gL1oQs1UYM91-z8VvirBg&amp;cb_client=search.gws-prod.gps&amp;w=408&amp;h=240&amp;yaw=165.14844&amp;pitch=0&amp;thumbfov=100", "link")</f>
        <v>link</v>
      </c>
    </row>
    <row r="4175" spans="1:4" x14ac:dyDescent="0.45">
      <c r="A4175" t="s">
        <v>4177</v>
      </c>
      <c r="B4175">
        <v>34.084114399999997</v>
      </c>
      <c r="C4175">
        <v>-118.36187219999999</v>
      </c>
      <c r="D4175" t="str">
        <f>HYPERLINK("https://streetviewpixels-pa.googleapis.com/v1/thumbnail?panoid=b0UiOEqVYJjMGx77jGUrFQ&amp;cb_client=search.gws-prod.gps&amp;w=408&amp;h=240&amp;yaw=125.870514&amp;pitch=0&amp;thumbfov=100", "link")</f>
        <v>link</v>
      </c>
    </row>
    <row r="4176" spans="1:4" x14ac:dyDescent="0.45">
      <c r="A4176" t="s">
        <v>4178</v>
      </c>
      <c r="B4176">
        <v>34.0777</v>
      </c>
      <c r="C4176">
        <v>-118.388651</v>
      </c>
      <c r="D4176" t="s">
        <v>5</v>
      </c>
    </row>
    <row r="4177" spans="1:4" x14ac:dyDescent="0.45">
      <c r="A4177" t="s">
        <v>4179</v>
      </c>
      <c r="B4177">
        <v>34.0775393999999</v>
      </c>
      <c r="C4177">
        <v>-118.38869939999999</v>
      </c>
      <c r="D4177" t="s">
        <v>5</v>
      </c>
    </row>
    <row r="4178" spans="1:4" x14ac:dyDescent="0.45">
      <c r="A4178" t="s">
        <v>4180</v>
      </c>
      <c r="B4178">
        <v>34.083726899999903</v>
      </c>
      <c r="C4178">
        <v>-118.34840920000001</v>
      </c>
      <c r="D4178" t="str">
        <f>HYPERLINK("https://streetviewpixels-pa.googleapis.com/v1/thumbnail?panoid=CfWI4-g4H3amXrEHsoZeGQ&amp;cb_client=search.gws-prod.gps&amp;w=408&amp;h=240&amp;yaw=353.70792&amp;pitch=0&amp;thumbfov=100", "link")</f>
        <v>link</v>
      </c>
    </row>
    <row r="4179" spans="1:4" x14ac:dyDescent="0.45">
      <c r="A4179" t="s">
        <v>4181</v>
      </c>
      <c r="B4179">
        <v>34.084020299999999</v>
      </c>
      <c r="C4179">
        <v>-118.347128</v>
      </c>
      <c r="D4179" t="s">
        <v>5</v>
      </c>
    </row>
    <row r="4180" spans="1:4" x14ac:dyDescent="0.45">
      <c r="A4180" t="s">
        <v>4182</v>
      </c>
      <c r="B4180">
        <v>34.0839833</v>
      </c>
      <c r="C4180">
        <v>-118.3470609</v>
      </c>
      <c r="D4180" t="s">
        <v>5</v>
      </c>
    </row>
    <row r="4181" spans="1:4" x14ac:dyDescent="0.45">
      <c r="A4181" t="s">
        <v>4183</v>
      </c>
      <c r="B4181">
        <v>34.085383</v>
      </c>
      <c r="C4181">
        <v>-118.3442761</v>
      </c>
      <c r="D4181" t="str">
        <f>HYPERLINK("https://streetviewpixels-pa.googleapis.com/v1/thumbnail?panoid=_ym-XvhpxDxsi49zr3Hvcw&amp;cb_client=search.gws-prod.gps&amp;w=408&amp;h=240&amp;yaw=268.8673&amp;pitch=0&amp;thumbfov=100", "link")</f>
        <v>link</v>
      </c>
    </row>
    <row r="4182" spans="1:4" x14ac:dyDescent="0.45">
      <c r="A4182" t="s">
        <v>4184</v>
      </c>
      <c r="B4182">
        <v>34.08549</v>
      </c>
      <c r="C4182">
        <v>-118.34368360000001</v>
      </c>
      <c r="D4182" t="s">
        <v>5</v>
      </c>
    </row>
    <row r="4183" spans="1:4" x14ac:dyDescent="0.45">
      <c r="A4183" t="s">
        <v>4185</v>
      </c>
      <c r="B4183">
        <v>34.091427600000003</v>
      </c>
      <c r="C4183">
        <v>-118.3401162</v>
      </c>
      <c r="D4183" t="str">
        <f>HYPERLINK("https://streetviewpixels-pa.googleapis.com/v1/thumbnail?panoid=R7t5tTc3wPbrKFM9reKJ_w&amp;cb_client=search.gws-prod.gps&amp;w=408&amp;h=240&amp;yaw=217.74136&amp;pitch=0&amp;thumbfov=100", "link")</f>
        <v>link</v>
      </c>
    </row>
    <row r="4184" spans="1:4" x14ac:dyDescent="0.45">
      <c r="A4184" t="s">
        <v>4186</v>
      </c>
      <c r="B4184">
        <v>34.092009500000003</v>
      </c>
      <c r="C4184">
        <v>-118.3400948</v>
      </c>
      <c r="D4184" t="str">
        <f>HYPERLINK("https://streetviewpixels-pa.googleapis.com/v1/thumbnail?panoid=_Xxjs-ZnwCLYxExUsPnKUA&amp;cb_client=search.gws-prod.gps&amp;w=408&amp;h=240&amp;yaw=106.042274&amp;pitch=0&amp;thumbfov=100", "link")</f>
        <v>link</v>
      </c>
    </row>
    <row r="4185" spans="1:4" x14ac:dyDescent="0.45">
      <c r="A4185" t="s">
        <v>4187</v>
      </c>
      <c r="B4185">
        <v>34.083813300000003</v>
      </c>
      <c r="C4185">
        <v>-118.3448401</v>
      </c>
      <c r="D4185" t="str">
        <f>HYPERLINK("https://streetviewpixels-pa.googleapis.com/v1/thumbnail?panoid=oc1mlTfFmSWu7QQ8nPZgAQ&amp;cb_client=search.gws-prod.gps&amp;w=408&amp;h=240&amp;yaw=164.95049&amp;pitch=0&amp;thumbfov=100", "link")</f>
        <v>link</v>
      </c>
    </row>
    <row r="4186" spans="1:4" x14ac:dyDescent="0.45">
      <c r="A4186" t="s">
        <v>4188</v>
      </c>
      <c r="B4186">
        <v>34.090153600000001</v>
      </c>
      <c r="C4186">
        <v>-118.3458103</v>
      </c>
      <c r="D4186" t="str">
        <f>HYPERLINK("https://streetviewpixels-pa.googleapis.com/v1/thumbnail?panoid=YFZwb6cxVgXknIahKpanhg&amp;cb_client=search.gws-prod.gps&amp;w=408&amp;h=240&amp;yaw=224.96593&amp;pitch=0&amp;thumbfov=100", "link")</f>
        <v>link</v>
      </c>
    </row>
    <row r="4187" spans="1:4" x14ac:dyDescent="0.45">
      <c r="A4187" t="s">
        <v>4189</v>
      </c>
      <c r="B4187">
        <v>34.0885459</v>
      </c>
      <c r="C4187">
        <v>-118.345373</v>
      </c>
      <c r="D4187" t="s">
        <v>5</v>
      </c>
    </row>
    <row r="4188" spans="1:4" x14ac:dyDescent="0.45">
      <c r="A4188" t="s">
        <v>4190</v>
      </c>
      <c r="B4188">
        <v>34.091357700000003</v>
      </c>
      <c r="C4188">
        <v>-118.34423099999999</v>
      </c>
      <c r="D4188" t="str">
        <f>HYPERLINK("https://streetviewpixels-pa.googleapis.com/v1/thumbnail?panoid=QGhSxl_d2Hu8_PG542hPZA&amp;cb_client=search.gws-prod.gps&amp;w=408&amp;h=240&amp;yaw=300.02667&amp;pitch=0&amp;thumbfov=100", "link")</f>
        <v>link</v>
      </c>
    </row>
    <row r="4189" spans="1:4" x14ac:dyDescent="0.45">
      <c r="A4189" t="s">
        <v>4191</v>
      </c>
      <c r="B4189">
        <v>34.097175999999997</v>
      </c>
      <c r="C4189">
        <v>-118.34869500000001</v>
      </c>
      <c r="D4189" t="str">
        <f>HYPERLINK("https://streetviewpixels-pa.googleapis.com/v1/thumbnail?panoid=v9h7caj_sTHteAvQ16kR3w&amp;cb_client=search.gws-prod.gps&amp;w=408&amp;h=240&amp;yaw=312.2087&amp;pitch=0&amp;thumbfov=100", "link")</f>
        <v>link</v>
      </c>
    </row>
    <row r="4190" spans="1:4" x14ac:dyDescent="0.45">
      <c r="A4190" t="s">
        <v>4192</v>
      </c>
      <c r="B4190">
        <v>34.087797600000002</v>
      </c>
      <c r="C4190">
        <v>-118.34532729999999</v>
      </c>
      <c r="D4190" t="s">
        <v>5</v>
      </c>
    </row>
    <row r="4191" spans="1:4" x14ac:dyDescent="0.45">
      <c r="A4191" t="s">
        <v>4193</v>
      </c>
      <c r="B4191">
        <v>34.091363000000001</v>
      </c>
      <c r="C4191">
        <v>-118.3436698</v>
      </c>
      <c r="D4191" t="str">
        <f>HYPERLINK("https://lh5.googleusercontent.com/p/AF1QipNYnNxSas1qSvsVzfOEx2fwu9VUeTweSSoPJMeI=w408-h306-k-no", "link")</f>
        <v>link</v>
      </c>
    </row>
    <row r="4192" spans="1:4" x14ac:dyDescent="0.45">
      <c r="A4192" t="s">
        <v>4194</v>
      </c>
      <c r="B4192">
        <v>34.092779100000001</v>
      </c>
      <c r="C4192">
        <v>-118.343721</v>
      </c>
      <c r="D4192" t="str">
        <f>HYPERLINK("https://streetviewpixels-pa.googleapis.com/v1/thumbnail?panoid=5O03wXRyDSXWTVi8iY7RVA&amp;cb_client=search.gws-prod.gps&amp;w=408&amp;h=240&amp;yaw=332.1804&amp;pitch=0&amp;thumbfov=100", "link")</f>
        <v>link</v>
      </c>
    </row>
    <row r="4193" spans="1:4" x14ac:dyDescent="0.45">
      <c r="A4193" t="s">
        <v>4195</v>
      </c>
      <c r="B4193">
        <v>34.0978195</v>
      </c>
      <c r="C4193">
        <v>-118.3494389</v>
      </c>
      <c r="D4193" t="str">
        <f>HYPERLINK("https://streetviewpixels-pa.googleapis.com/v1/thumbnail?panoid=lfwVbob23qOL_7fUVkMVgQ&amp;cb_client=search.gws-prod.gps&amp;w=408&amp;h=240&amp;yaw=181.37238&amp;pitch=0&amp;thumbfov=100", "link")</f>
        <v>link</v>
      </c>
    </row>
    <row r="4194" spans="1:4" x14ac:dyDescent="0.45">
      <c r="A4194" t="s">
        <v>4196</v>
      </c>
      <c r="B4194">
        <v>34.087446200000002</v>
      </c>
      <c r="C4194">
        <v>-118.3449509</v>
      </c>
      <c r="D4194" t="str">
        <f>HYPERLINK("https://streetviewpixels-pa.googleapis.com/v1/thumbnail?panoid=my9mN7bJxf6CBYyvRC3K1g&amp;cb_client=search.gws-prod.gps&amp;w=408&amp;h=240&amp;yaw=52.72695&amp;pitch=0&amp;thumbfov=100", "link")</f>
        <v>link</v>
      </c>
    </row>
    <row r="4195" spans="1:4" x14ac:dyDescent="0.45">
      <c r="A4195" t="s">
        <v>4197</v>
      </c>
      <c r="B4195">
        <v>34.076959100000003</v>
      </c>
      <c r="C4195">
        <v>-118.3815815</v>
      </c>
      <c r="D4195" t="str">
        <f>HYPERLINK("https://streetviewpixels-pa.googleapis.com/v1/thumbnail?panoid=PBXQXJyJKws_XxMkyfmjPQ&amp;cb_client=search.gws-prod.gps&amp;w=408&amp;h=240&amp;yaw=24.272411&amp;pitch=0&amp;thumbfov=100", "link")</f>
        <v>link</v>
      </c>
    </row>
    <row r="4196" spans="1:4" x14ac:dyDescent="0.45">
      <c r="A4196" t="s">
        <v>4198</v>
      </c>
      <c r="B4196">
        <v>34.077135699999999</v>
      </c>
      <c r="C4196">
        <v>-118.3810964</v>
      </c>
      <c r="D4196" t="str">
        <f>HYPERLINK("https://streetviewpixels-pa.googleapis.com/v1/thumbnail?panoid=pcXOdsKYNqvk5V0G6UYSgg&amp;cb_client=search.gws-prod.gps&amp;w=408&amp;h=240&amp;yaw=236.1881&amp;pitch=0&amp;thumbfov=100", "link")</f>
        <v>link</v>
      </c>
    </row>
    <row r="4197" spans="1:4" x14ac:dyDescent="0.45">
      <c r="A4197" t="s">
        <v>4199</v>
      </c>
      <c r="B4197">
        <v>34.076099900000003</v>
      </c>
      <c r="C4197">
        <v>-118.38304309999999</v>
      </c>
      <c r="D4197" t="str">
        <f>HYPERLINK("https://streetviewpixels-pa.googleapis.com/v1/thumbnail?panoid=xI0_g88rfnWb9jBenkUbcg&amp;cb_client=search.gws-prod.gps&amp;w=408&amp;h=240&amp;yaw=62.616013&amp;pitch=0&amp;thumbfov=100", "link")</f>
        <v>link</v>
      </c>
    </row>
    <row r="4198" spans="1:4" x14ac:dyDescent="0.45">
      <c r="A4198" t="s">
        <v>4200</v>
      </c>
      <c r="B4198">
        <v>34.076877099999997</v>
      </c>
      <c r="C4198">
        <v>-118.3893814</v>
      </c>
      <c r="D4198" t="s">
        <v>5</v>
      </c>
    </row>
    <row r="4199" spans="1:4" x14ac:dyDescent="0.45">
      <c r="A4199" t="s">
        <v>4201</v>
      </c>
      <c r="B4199">
        <v>34.091093800000003</v>
      </c>
      <c r="C4199">
        <v>-118.3924726</v>
      </c>
      <c r="D4199" t="str">
        <f>HYPERLINK("https://streetviewpixels-pa.googleapis.com/v1/thumbnail?panoid=37D7v8zgf4uolPSAWI-gkQ&amp;cb_client=search.gws-prod.gps&amp;w=408&amp;h=240&amp;yaw=336.11984&amp;pitch=0&amp;thumbfov=100", "link")</f>
        <v>link</v>
      </c>
    </row>
    <row r="4200" spans="1:4" x14ac:dyDescent="0.45">
      <c r="A4200" t="s">
        <v>4202</v>
      </c>
      <c r="B4200">
        <v>34.090931300000001</v>
      </c>
      <c r="C4200">
        <v>-118.39215660000001</v>
      </c>
      <c r="D4200" t="str">
        <f>HYPERLINK("https://streetviewpixels-pa.googleapis.com/v1/thumbnail?panoid=37D7v8zgf4uolPSAWI-gkQ&amp;cb_client=search.gws-prod.gps&amp;w=408&amp;h=240&amp;yaw=336.11984&amp;pitch=0&amp;thumbfov=100", "link")</f>
        <v>link</v>
      </c>
    </row>
    <row r="4201" spans="1:4" x14ac:dyDescent="0.45">
      <c r="A4201" t="s">
        <v>4203</v>
      </c>
      <c r="B4201">
        <v>34.090285700000003</v>
      </c>
      <c r="C4201">
        <v>-118.3913546</v>
      </c>
      <c r="D4201" t="str">
        <f>HYPERLINK("https://streetviewpixels-pa.googleapis.com/v1/thumbnail?panoid=bn_EYuOkLcn3q2iGwUYDdA&amp;cb_client=search.gws-prod.gps&amp;w=408&amp;h=240&amp;yaw=313.45984&amp;pitch=0&amp;thumbfov=100", "link")</f>
        <v>link</v>
      </c>
    </row>
    <row r="4202" spans="1:4" x14ac:dyDescent="0.45">
      <c r="A4202" t="s">
        <v>4204</v>
      </c>
      <c r="B4202">
        <v>34.0898428</v>
      </c>
      <c r="C4202">
        <v>-118.392774</v>
      </c>
      <c r="D4202" t="str">
        <f>HYPERLINK("https://streetviewpixels-pa.googleapis.com/v1/thumbnail?panoid=fN9yLm4aTS4AOo7XpvMzOQ&amp;cb_client=search.gws-prod.gps&amp;w=408&amp;h=240&amp;yaw=161.7946&amp;pitch=0&amp;thumbfov=100", "link")</f>
        <v>link</v>
      </c>
    </row>
    <row r="4203" spans="1:4" x14ac:dyDescent="0.45">
      <c r="A4203" t="s">
        <v>4205</v>
      </c>
      <c r="B4203">
        <v>34.090871900000003</v>
      </c>
      <c r="C4203">
        <v>-118.3939915</v>
      </c>
      <c r="D4203" t="str">
        <f>HYPERLINK("https://streetviewpixels-pa.googleapis.com/v1/thumbnail?panoid=2hfL4xTueV73mkqhrmtJgw&amp;cb_client=search.gws-prod.gps&amp;w=408&amp;h=240&amp;yaw=2.2427309&amp;pitch=0&amp;thumbfov=100", "link")</f>
        <v>link</v>
      </c>
    </row>
    <row r="4204" spans="1:4" x14ac:dyDescent="0.45">
      <c r="A4204" t="s">
        <v>4206</v>
      </c>
      <c r="B4204">
        <v>34.090856600000002</v>
      </c>
      <c r="C4204">
        <v>-118.3908114</v>
      </c>
      <c r="D4204" t="str">
        <f>HYPERLINK("https://streetviewpixels-pa.googleapis.com/v1/thumbnail?panoid=ASnFq2RBl-WNSVHVjFi5pA&amp;cb_client=search.gws-prod.gps&amp;w=408&amp;h=240&amp;yaw=19.569431&amp;pitch=0&amp;thumbfov=100", "link")</f>
        <v>link</v>
      </c>
    </row>
    <row r="4205" spans="1:4" x14ac:dyDescent="0.45">
      <c r="A4205" t="s">
        <v>4207</v>
      </c>
      <c r="B4205">
        <v>34.090455300000002</v>
      </c>
      <c r="C4205">
        <v>-118.3941772</v>
      </c>
      <c r="D4205" t="str">
        <f>HYPERLINK("https://streetviewpixels-pa.googleapis.com/v1/thumbnail?panoid=Rc4SvImObbsSjSlOVIBPCw&amp;cb_client=search.gws-prod.gps&amp;w=408&amp;h=240&amp;yaw=329.91824&amp;pitch=0&amp;thumbfov=100", "link")</f>
        <v>link</v>
      </c>
    </row>
    <row r="4206" spans="1:4" x14ac:dyDescent="0.45">
      <c r="A4206" t="s">
        <v>4208</v>
      </c>
      <c r="B4206">
        <v>34.077235700000003</v>
      </c>
      <c r="C4206">
        <v>-118.380242</v>
      </c>
      <c r="D4206" t="str">
        <f>HYPERLINK("https://streetviewpixels-pa.googleapis.com/v1/thumbnail?panoid=9Qwcwwgl0HCRj4qKeso5FQ&amp;cb_client=search.gws-prod.gps&amp;w=408&amp;h=240&amp;yaw=39.255104&amp;pitch=0&amp;thumbfov=100", "link")</f>
        <v>link</v>
      </c>
    </row>
    <row r="4207" spans="1:4" x14ac:dyDescent="0.45">
      <c r="A4207" t="s">
        <v>4209</v>
      </c>
      <c r="B4207">
        <v>34.097239999999999</v>
      </c>
      <c r="C4207">
        <v>-118.3658068</v>
      </c>
      <c r="D4207" t="str">
        <f>HYPERLINK("https://streetviewpixels-pa.googleapis.com/v1/thumbnail?panoid=6LIwmrVQM088YnYE9q3XeA&amp;cb_client=search.gws-prod.gps&amp;w=408&amp;h=240&amp;yaw=106.50759&amp;pitch=0&amp;thumbfov=100", "link")</f>
        <v>link</v>
      </c>
    </row>
    <row r="4208" spans="1:4" x14ac:dyDescent="0.45">
      <c r="A4208" t="s">
        <v>4210</v>
      </c>
      <c r="B4208">
        <v>33.968999400000001</v>
      </c>
      <c r="C4208">
        <v>-118.0433374</v>
      </c>
      <c r="D4208" t="str">
        <f>HYPERLINK("https://streetviewpixels-pa.googleapis.com/v1/thumbnail?panoid=WCQFOC4Boy4smd3rdFeGQg&amp;cb_client=search.gws-prod.gps&amp;w=408&amp;h=240&amp;yaw=233.11485&amp;pitch=0&amp;thumbfov=100", "link")</f>
        <v>link</v>
      </c>
    </row>
    <row r="4209" spans="1:4" x14ac:dyDescent="0.45">
      <c r="A4209" t="s">
        <v>4211</v>
      </c>
      <c r="B4209">
        <v>33.9690279</v>
      </c>
      <c r="C4209">
        <v>-118.0442044</v>
      </c>
      <c r="D4209" t="str">
        <f>HYPERLINK("https://streetviewpixels-pa.googleapis.com/v1/thumbnail?panoid=6bKV7QOXhaK8N5PBuwjHqw&amp;cb_client=search.gws-prod.gps&amp;w=408&amp;h=240&amp;yaw=69.2414&amp;pitch=0&amp;thumbfov=100", "link")</f>
        <v>link</v>
      </c>
    </row>
    <row r="4210" spans="1:4" x14ac:dyDescent="0.45">
      <c r="A4210" t="s">
        <v>4212</v>
      </c>
      <c r="B4210">
        <v>33.9695714</v>
      </c>
      <c r="C4210">
        <v>-118.03772600000001</v>
      </c>
      <c r="D4210" t="str">
        <f>HYPERLINK("https://streetviewpixels-pa.googleapis.com/v1/thumbnail?panoid=hx_0N3MG-xaSbur76SIWGw&amp;cb_client=search.gws-prod.gps&amp;w=408&amp;h=240&amp;yaw=40.6201&amp;pitch=0&amp;thumbfov=100", "link")</f>
        <v>link</v>
      </c>
    </row>
    <row r="4211" spans="1:4" x14ac:dyDescent="0.45">
      <c r="A4211" t="s">
        <v>4213</v>
      </c>
      <c r="B4211">
        <v>33.9672944</v>
      </c>
      <c r="C4211">
        <v>-118.0368788</v>
      </c>
      <c r="D4211" t="s">
        <v>5</v>
      </c>
    </row>
    <row r="4212" spans="1:4" x14ac:dyDescent="0.45">
      <c r="A4212" t="s">
        <v>4214</v>
      </c>
      <c r="B4212">
        <v>33.964610200000003</v>
      </c>
      <c r="C4212">
        <v>-118.038501</v>
      </c>
      <c r="D4212" t="str">
        <f>HYPERLINK("https://streetviewpixels-pa.googleapis.com/v1/thumbnail?panoid=Bb0OSMKfrFh3JxL2sd5fkA&amp;cb_client=search.gws-prod.gps&amp;w=408&amp;h=240&amp;yaw=313.7166&amp;pitch=0&amp;thumbfov=100", "link")</f>
        <v>link</v>
      </c>
    </row>
    <row r="4213" spans="1:4" x14ac:dyDescent="0.45">
      <c r="A4213" t="s">
        <v>4215</v>
      </c>
      <c r="B4213">
        <v>33.9659014</v>
      </c>
      <c r="C4213">
        <v>-118.0367225</v>
      </c>
      <c r="D4213" t="s">
        <v>5</v>
      </c>
    </row>
    <row r="4214" spans="1:4" x14ac:dyDescent="0.45">
      <c r="A4214" t="s">
        <v>4216</v>
      </c>
      <c r="B4214">
        <v>33.965240999999999</v>
      </c>
      <c r="C4214">
        <v>-118.03470299999999</v>
      </c>
      <c r="D4214" t="str">
        <f>HYPERLINK("https://streetviewpixels-pa.googleapis.com/v1/thumbnail?panoid=xbWw2izK1trwuffaWNGDyg&amp;cb_client=search.gws-prod.gps&amp;w=408&amp;h=240&amp;yaw=79.74869&amp;pitch=0&amp;thumbfov=100", "link")</f>
        <v>link</v>
      </c>
    </row>
    <row r="4215" spans="1:4" x14ac:dyDescent="0.45">
      <c r="A4215" t="s">
        <v>4217</v>
      </c>
      <c r="B4215">
        <v>33.973806400000001</v>
      </c>
      <c r="C4215">
        <v>-118.0329718</v>
      </c>
      <c r="D4215" t="str">
        <f>HYPERLINK("https://streetviewpixels-pa.googleapis.com/v1/thumbnail?panoid=OhyPDRp5GEcoUck0BOgbtA&amp;cb_client=search.gws-prod.gps&amp;w=408&amp;h=240&amp;yaw=13.812065&amp;pitch=0&amp;thumbfov=100", "link")</f>
        <v>link</v>
      </c>
    </row>
    <row r="4216" spans="1:4" x14ac:dyDescent="0.45">
      <c r="A4216" t="s">
        <v>4218</v>
      </c>
      <c r="B4216">
        <v>33.976539099999997</v>
      </c>
      <c r="C4216">
        <v>-118.0321795</v>
      </c>
      <c r="D4216" t="s">
        <v>5</v>
      </c>
    </row>
    <row r="4217" spans="1:4" x14ac:dyDescent="0.45">
      <c r="A4217" t="s">
        <v>4219</v>
      </c>
      <c r="B4217">
        <v>33.976599200000003</v>
      </c>
      <c r="C4217">
        <v>-118.03205699999999</v>
      </c>
      <c r="D4217" t="s">
        <v>5</v>
      </c>
    </row>
    <row r="4218" spans="1:4" x14ac:dyDescent="0.45">
      <c r="A4218" t="s">
        <v>4220</v>
      </c>
      <c r="B4218">
        <v>33.976540499999999</v>
      </c>
      <c r="C4218">
        <v>-118.03018160000001</v>
      </c>
      <c r="D4218" t="s">
        <v>5</v>
      </c>
    </row>
    <row r="4219" spans="1:4" x14ac:dyDescent="0.45">
      <c r="A4219" t="s">
        <v>4221</v>
      </c>
      <c r="B4219">
        <v>33.9572371</v>
      </c>
      <c r="C4219">
        <v>-118.05199880000001</v>
      </c>
      <c r="D4219" t="s">
        <v>5</v>
      </c>
    </row>
    <row r="4220" spans="1:4" x14ac:dyDescent="0.45">
      <c r="A4220" t="s">
        <v>4222</v>
      </c>
      <c r="B4220">
        <v>33.765053299999998</v>
      </c>
      <c r="C4220">
        <v>-118.2035695</v>
      </c>
      <c r="D4220" t="s">
        <v>5</v>
      </c>
    </row>
    <row r="4221" spans="1:4" x14ac:dyDescent="0.45">
      <c r="A4221" t="s">
        <v>4223</v>
      </c>
      <c r="B4221">
        <v>33.7663844</v>
      </c>
      <c r="C4221">
        <v>-118.2029637</v>
      </c>
      <c r="D4221" t="str">
        <f>HYPERLINK("https://lh5.googleusercontent.com/p/AF1QipNloPPwn8zAzyzuVSN31tz9Y0oIQwkWZC8Manh5=w408-h544-k-no", "link")</f>
        <v>link</v>
      </c>
    </row>
    <row r="4222" spans="1:4" x14ac:dyDescent="0.45">
      <c r="A4222" t="s">
        <v>4224</v>
      </c>
      <c r="B4222">
        <v>33.769136799999998</v>
      </c>
      <c r="C4222">
        <v>-118.20107590000001</v>
      </c>
      <c r="D4222" t="str">
        <f>HYPERLINK("https://lh5.googleusercontent.com/p/AF1QipNTuNf_0miMZt-R-gezH7LK0aSJe5rhEaAYrUzu=w408-h306-k-no", "link")</f>
        <v>link</v>
      </c>
    </row>
    <row r="4223" spans="1:4" x14ac:dyDescent="0.45">
      <c r="A4223" t="s">
        <v>4225</v>
      </c>
      <c r="B4223">
        <v>33.767712299999999</v>
      </c>
      <c r="C4223">
        <v>-118.2014605</v>
      </c>
      <c r="D4223" t="str">
        <f>HYPERLINK("https://lh5.googleusercontent.com/p/AF1QipNkJR_B33XmQd8cDCSTbX8hlmTJRrULBzEwLDiP=w408-h544-k-no", "link")</f>
        <v>link</v>
      </c>
    </row>
    <row r="4224" spans="1:4" x14ac:dyDescent="0.45">
      <c r="A4224" t="s">
        <v>4226</v>
      </c>
      <c r="B4224">
        <v>33.766738199999999</v>
      </c>
      <c r="C4224">
        <v>-118.20153569999999</v>
      </c>
      <c r="D4224" t="str">
        <f>HYPERLINK("https://streetviewpixels-pa.googleapis.com/v1/thumbnail?panoid=B62srI2NO6GdFNv5UrDoCQ&amp;cb_client=search.gws-prod.gps&amp;w=408&amp;h=240&amp;yaw=343.10062&amp;pitch=0&amp;thumbfov=100", "link")</f>
        <v>link</v>
      </c>
    </row>
    <row r="4225" spans="1:4" x14ac:dyDescent="0.45">
      <c r="A4225" t="s">
        <v>4227</v>
      </c>
      <c r="B4225">
        <v>33.7663121</v>
      </c>
      <c r="C4225">
        <v>-118.2013281</v>
      </c>
      <c r="D4225" t="str">
        <f>HYPERLINK("https://lh5.googleusercontent.com/p/AF1QipOjXQdN2nyqUGlawxTTLQlKynHglxoD8NjEnwwv=w426-h240-k-no", "link")</f>
        <v>link</v>
      </c>
    </row>
    <row r="4226" spans="1:4" x14ac:dyDescent="0.45">
      <c r="A4226" t="s">
        <v>4228</v>
      </c>
      <c r="B4226">
        <v>33.764229999999998</v>
      </c>
      <c r="C4226">
        <v>-118.2020155</v>
      </c>
      <c r="D4226" t="s">
        <v>5</v>
      </c>
    </row>
    <row r="4227" spans="1:4" x14ac:dyDescent="0.45">
      <c r="A4227" t="s">
        <v>4229</v>
      </c>
      <c r="B4227">
        <v>33.764085999999999</v>
      </c>
      <c r="C4227">
        <v>-118.2013561</v>
      </c>
      <c r="D4227" t="str">
        <f>HYPERLINK("https://streetviewpixels-pa.googleapis.com/v1/thumbnail?panoid=HmVmJVcN-n52JDDOL2TaFQ&amp;cb_client=search.gws-prod.gps&amp;w=408&amp;h=240&amp;yaw=147.778&amp;pitch=0&amp;thumbfov=100", "link")</f>
        <v>link</v>
      </c>
    </row>
    <row r="4228" spans="1:4" x14ac:dyDescent="0.45">
      <c r="A4228" t="s">
        <v>4230</v>
      </c>
      <c r="B4228">
        <v>33.7597691</v>
      </c>
      <c r="C4228">
        <v>-118.20314810000001</v>
      </c>
      <c r="D4228" t="str">
        <f>HYPERLINK("https://streetviewpixels-pa.googleapis.com/v1/thumbnail?panoid=VxtLxW6iyhGnmYQyzUzBzw&amp;cb_client=search.gws-prod.gps&amp;w=408&amp;h=240&amp;yaw=52.2561&amp;pitch=0&amp;thumbfov=100", "link")</f>
        <v>link</v>
      </c>
    </row>
    <row r="4229" spans="1:4" x14ac:dyDescent="0.45">
      <c r="A4229" t="s">
        <v>4231</v>
      </c>
      <c r="B4229">
        <v>33.763006300000001</v>
      </c>
      <c r="C4229">
        <v>-118.2013989</v>
      </c>
      <c r="D4229" t="s">
        <v>5</v>
      </c>
    </row>
    <row r="4230" spans="1:4" x14ac:dyDescent="0.45">
      <c r="A4230" t="s">
        <v>4232</v>
      </c>
      <c r="B4230">
        <v>33.762739000000003</v>
      </c>
      <c r="C4230">
        <v>-118.2013072</v>
      </c>
      <c r="D4230" t="s">
        <v>5</v>
      </c>
    </row>
    <row r="4231" spans="1:4" x14ac:dyDescent="0.45">
      <c r="A4231" t="s">
        <v>4233</v>
      </c>
      <c r="B4231">
        <v>33.766174200000002</v>
      </c>
      <c r="C4231">
        <v>-118.19974879999999</v>
      </c>
      <c r="D4231" t="s">
        <v>5</v>
      </c>
    </row>
    <row r="4232" spans="1:4" x14ac:dyDescent="0.45">
      <c r="A4232" t="s">
        <v>4234</v>
      </c>
      <c r="B4232">
        <v>33.769005700000001</v>
      </c>
      <c r="C4232">
        <v>-118.1987817</v>
      </c>
      <c r="D4232" t="str">
        <f>HYPERLINK("https://streetviewpixels-pa.googleapis.com/v1/thumbnail?panoid=ogVg_7t5obUZYeCm6j3XsA&amp;cb_client=search.gws-prod.gps&amp;w=408&amp;h=240&amp;yaw=208.73413&amp;pitch=0&amp;thumbfov=100", "link")</f>
        <v>link</v>
      </c>
    </row>
    <row r="4233" spans="1:4" x14ac:dyDescent="0.45">
      <c r="A4233" t="s">
        <v>4235</v>
      </c>
      <c r="B4233">
        <v>33.768394200000003</v>
      </c>
      <c r="C4233">
        <v>-118.1988157</v>
      </c>
      <c r="D4233" t="str">
        <f>HYPERLINK("https://streetviewpixels-pa.googleapis.com/v1/thumbnail?panoid=dTf4eCp_ILj1wZYzYEqgMA&amp;cb_client=search.gws-prod.gps&amp;w=408&amp;h=240&amp;yaw=236.5187&amp;pitch=0&amp;thumbfov=100", "link")</f>
        <v>link</v>
      </c>
    </row>
    <row r="4234" spans="1:4" x14ac:dyDescent="0.45">
      <c r="A4234" t="s">
        <v>4236</v>
      </c>
      <c r="B4234">
        <v>33.768424199999998</v>
      </c>
      <c r="C4234">
        <v>-118.19876720000001</v>
      </c>
      <c r="D4234" t="str">
        <f>HYPERLINK("https://streetviewpixels-pa.googleapis.com/v1/thumbnail?panoid=dTf4eCp_ILj1wZYzYEqgMA&amp;cb_client=search.gws-prod.gps&amp;w=408&amp;h=240&amp;yaw=236.5187&amp;pitch=0&amp;thumbfov=100", "link")</f>
        <v>link</v>
      </c>
    </row>
    <row r="4235" spans="1:4" x14ac:dyDescent="0.45">
      <c r="A4235" t="s">
        <v>4237</v>
      </c>
      <c r="B4235">
        <v>33.766883399999998</v>
      </c>
      <c r="C4235">
        <v>-118.203003</v>
      </c>
      <c r="D4235" t="str">
        <f>HYPERLINK("https://lh5.googleusercontent.com/p/AF1QipPrjjd7vQt7xgalQTyzVxk-q_OnpY35a9LJY-NB=w520-h240-k-no", "link")</f>
        <v>link</v>
      </c>
    </row>
    <row r="4236" spans="1:4" x14ac:dyDescent="0.45">
      <c r="A4236" t="s">
        <v>4238</v>
      </c>
      <c r="B4236">
        <v>33.766835700000001</v>
      </c>
      <c r="C4236">
        <v>-118.19895390000001</v>
      </c>
      <c r="D4236" t="str">
        <f>HYPERLINK("https://streetviewpixels-pa.googleapis.com/v1/thumbnail?panoid=QGLP54GGoZKrJfeTg5u7tw&amp;cb_client=search.gws-prod.gps&amp;w=408&amp;h=240&amp;yaw=306.35474&amp;pitch=0&amp;thumbfov=100", "link")</f>
        <v>link</v>
      </c>
    </row>
    <row r="4237" spans="1:4" x14ac:dyDescent="0.45">
      <c r="A4237" t="s">
        <v>4239</v>
      </c>
      <c r="B4237">
        <v>33.768183200000003</v>
      </c>
      <c r="C4237">
        <v>-118.19828149999999</v>
      </c>
      <c r="D4237" t="str">
        <f>HYPERLINK("https://streetviewpixels-pa.googleapis.com/v1/thumbnail?panoid=dTf4eCp_ILj1wZYzYEqgMA&amp;cb_client=search.gws-prod.gps&amp;w=408&amp;h=240&amp;yaw=237.90897&amp;pitch=0&amp;thumbfov=100", "link")</f>
        <v>link</v>
      </c>
    </row>
    <row r="4238" spans="1:4" x14ac:dyDescent="0.45">
      <c r="A4238" t="s">
        <v>4240</v>
      </c>
      <c r="B4238">
        <v>33.7637748</v>
      </c>
      <c r="C4238">
        <v>-118.1989669</v>
      </c>
      <c r="D4238" t="str">
        <f>HYPERLINK("https://streetviewpixels-pa.googleapis.com/v1/thumbnail?panoid=gK-_3PkGGNSNLmdjx97IGg&amp;cb_client=search.gws-prod.gps&amp;w=408&amp;h=240&amp;yaw=182.16388&amp;pitch=0&amp;thumbfov=100", "link")</f>
        <v>link</v>
      </c>
    </row>
    <row r="4239" spans="1:4" x14ac:dyDescent="0.45">
      <c r="A4239" t="s">
        <v>4241</v>
      </c>
      <c r="B4239">
        <v>33.763793399999997</v>
      </c>
      <c r="C4239">
        <v>-118.1995964</v>
      </c>
      <c r="D4239" t="str">
        <f>HYPERLINK("https://streetviewpixels-pa.googleapis.com/v1/thumbnail?panoid=EElDgMQ9WriTZhClt1priQ&amp;cb_client=search.gws-prod.gps&amp;w=408&amp;h=240&amp;yaw=177.0586&amp;pitch=0&amp;thumbfov=100", "link")</f>
        <v>link</v>
      </c>
    </row>
    <row r="4240" spans="1:4" x14ac:dyDescent="0.45">
      <c r="A4240" t="s">
        <v>4242</v>
      </c>
      <c r="B4240">
        <v>33.763522399999999</v>
      </c>
      <c r="C4240">
        <v>-118.1966891</v>
      </c>
      <c r="D4240" t="str">
        <f>HYPERLINK("https://streetviewpixels-pa.googleapis.com/v1/thumbnail?panoid=mLdaCtV9MeNIRqrOf5PgRw&amp;cb_client=search.gws-prod.gps&amp;w=408&amp;h=240&amp;yaw=332.4967&amp;pitch=0&amp;thumbfov=100", "link")</f>
        <v>link</v>
      </c>
    </row>
    <row r="4241" spans="1:4" x14ac:dyDescent="0.45">
      <c r="A4241" t="s">
        <v>4243</v>
      </c>
      <c r="B4241">
        <v>33.762987799999998</v>
      </c>
      <c r="C4241">
        <v>-118.19851970000001</v>
      </c>
      <c r="D4241" t="s">
        <v>5</v>
      </c>
    </row>
    <row r="4242" spans="1:4" x14ac:dyDescent="0.45">
      <c r="A4242" t="s">
        <v>4244</v>
      </c>
      <c r="B4242">
        <v>33.7651599</v>
      </c>
      <c r="C4242">
        <v>-118.19962080000001</v>
      </c>
      <c r="D4242" t="str">
        <f>HYPERLINK("https://streetviewpixels-pa.googleapis.com/v1/thumbnail?panoid=ipOyNrCTili28bIxsAJukA&amp;cb_client=search.gws-prod.gps&amp;w=408&amp;h=240&amp;yaw=329.44855&amp;pitch=0&amp;thumbfov=100", "link")</f>
        <v>link</v>
      </c>
    </row>
    <row r="4243" spans="1:4" x14ac:dyDescent="0.45">
      <c r="A4243" t="s">
        <v>4245</v>
      </c>
      <c r="B4243">
        <v>34.2139545</v>
      </c>
      <c r="C4243">
        <v>-119.03049040000001</v>
      </c>
      <c r="D4243" t="str">
        <f>HYPERLINK("https://streetviewpixels-pa.googleapis.com/v1/thumbnail?panoid=pTX_H4RAPRpw-hv3SXYzgw&amp;cb_client=search.gws-prod.gps&amp;w=408&amp;h=240&amp;yaw=146.49362&amp;pitch=0&amp;thumbfov=100", "link")</f>
        <v>link</v>
      </c>
    </row>
    <row r="4244" spans="1:4" x14ac:dyDescent="0.45">
      <c r="A4244" t="s">
        <v>4246</v>
      </c>
      <c r="B4244">
        <v>34.2209036</v>
      </c>
      <c r="C4244">
        <v>-119.0370855</v>
      </c>
      <c r="D4244" t="str">
        <f>HYPERLINK("https://streetviewpixels-pa.googleapis.com/v1/thumbnail?panoid=ye8vrrQgcCDZ1v3xX5ak3Q&amp;cb_client=search.gws-prod.gps&amp;w=408&amp;h=240&amp;yaw=260.63126&amp;pitch=0&amp;thumbfov=100", "link")</f>
        <v>link</v>
      </c>
    </row>
    <row r="4245" spans="1:4" x14ac:dyDescent="0.45">
      <c r="A4245" t="s">
        <v>4247</v>
      </c>
      <c r="B4245">
        <v>34.212915099999996</v>
      </c>
      <c r="C4245">
        <v>-119.024922</v>
      </c>
      <c r="D4245" t="str">
        <f>HYPERLINK("https://streetviewpixels-pa.googleapis.com/v1/thumbnail?panoid=Ty7OLxkvlttK-EoHY4tfVA&amp;cb_client=search.gws-prod.gps&amp;w=408&amp;h=240&amp;yaw=107.7063&amp;pitch=0&amp;thumbfov=100", "link")</f>
        <v>link</v>
      </c>
    </row>
    <row r="4246" spans="1:4" x14ac:dyDescent="0.45">
      <c r="A4246" t="s">
        <v>4248</v>
      </c>
      <c r="B4246">
        <v>34.208211800000001</v>
      </c>
      <c r="C4246">
        <v>-119.0276262</v>
      </c>
      <c r="D4246" t="s">
        <v>5</v>
      </c>
    </row>
    <row r="4247" spans="1:4" x14ac:dyDescent="0.45">
      <c r="A4247" t="s">
        <v>4249</v>
      </c>
      <c r="B4247">
        <v>34.219764499999997</v>
      </c>
      <c r="C4247">
        <v>-119.0521535</v>
      </c>
      <c r="D4247" t="str">
        <f>HYPERLINK("https://lh5.googleusercontent.com/p/AF1QipN4V64kW5pFXBLrF_xG9a9F-kSmHbu7M3R21wAJ=w408-h306-k-no", "link")</f>
        <v>link</v>
      </c>
    </row>
    <row r="4248" spans="1:4" x14ac:dyDescent="0.45">
      <c r="A4248" t="s">
        <v>4250</v>
      </c>
      <c r="B4248">
        <v>34.222880500000002</v>
      </c>
      <c r="C4248">
        <v>-119.0520891</v>
      </c>
      <c r="D4248" t="str">
        <f>HYPERLINK("https://lh5.googleusercontent.com/p/AF1QipNS3teVOqMkvo8liRdlCKTAhZs_Xorz1KwYuoXe=w408-h306-k-no", "link")</f>
        <v>link</v>
      </c>
    </row>
    <row r="4249" spans="1:4" x14ac:dyDescent="0.45">
      <c r="A4249" t="s">
        <v>4251</v>
      </c>
      <c r="B4249">
        <v>34.225995599999997</v>
      </c>
      <c r="C4249">
        <v>-119.0188058</v>
      </c>
      <c r="D4249" t="s">
        <v>5</v>
      </c>
    </row>
    <row r="4250" spans="1:4" x14ac:dyDescent="0.45">
      <c r="A4250" t="s">
        <v>4252</v>
      </c>
      <c r="B4250">
        <v>34.166570299999997</v>
      </c>
      <c r="C4250">
        <v>-119.04704820000001</v>
      </c>
      <c r="D4250" t="str">
        <f>HYPERLINK("https://lh5.googleusercontent.com/p/AF1QipPYyjxyjcHoZ88mrwCseKGyjlS8banBeq0nk-Qn=w408-h544-k-no", "link")</f>
        <v>link</v>
      </c>
    </row>
    <row r="4251" spans="1:4" x14ac:dyDescent="0.45">
      <c r="A4251" t="s">
        <v>4253</v>
      </c>
      <c r="B4251">
        <v>34.163843100000001</v>
      </c>
      <c r="C4251">
        <v>-119.0392646</v>
      </c>
      <c r="D4251" t="s">
        <v>5</v>
      </c>
    </row>
    <row r="4252" spans="1:4" x14ac:dyDescent="0.45">
      <c r="A4252" t="s">
        <v>4254</v>
      </c>
      <c r="B4252">
        <v>34.164141100000002</v>
      </c>
      <c r="C4252">
        <v>-119.0418104</v>
      </c>
      <c r="D4252" t="s">
        <v>5</v>
      </c>
    </row>
    <row r="4253" spans="1:4" x14ac:dyDescent="0.45">
      <c r="A4253" t="s">
        <v>4255</v>
      </c>
      <c r="B4253">
        <v>34.163560199999999</v>
      </c>
      <c r="C4253">
        <v>-119.04267419999999</v>
      </c>
      <c r="D4253" t="s">
        <v>5</v>
      </c>
    </row>
    <row r="4254" spans="1:4" x14ac:dyDescent="0.45">
      <c r="A4254" t="s">
        <v>4256</v>
      </c>
      <c r="B4254">
        <v>34.164186899999997</v>
      </c>
      <c r="C4254">
        <v>-119.046463</v>
      </c>
      <c r="D4254" t="s">
        <v>5</v>
      </c>
    </row>
    <row r="4255" spans="1:4" x14ac:dyDescent="0.45">
      <c r="A4255" t="s">
        <v>4257</v>
      </c>
      <c r="B4255">
        <v>34.164194100000003</v>
      </c>
      <c r="C4255">
        <v>-119.0465382</v>
      </c>
      <c r="D4255" t="s">
        <v>5</v>
      </c>
    </row>
    <row r="4256" spans="1:4" x14ac:dyDescent="0.45">
      <c r="A4256" t="s">
        <v>4258</v>
      </c>
      <c r="B4256">
        <v>34.164455199999999</v>
      </c>
      <c r="C4256">
        <v>-119.0479929</v>
      </c>
      <c r="D4256" t="s">
        <v>5</v>
      </c>
    </row>
    <row r="4257" spans="1:4" x14ac:dyDescent="0.45">
      <c r="A4257" t="s">
        <v>4259</v>
      </c>
      <c r="B4257">
        <v>34.163167399999999</v>
      </c>
      <c r="C4257">
        <v>-119.04203769999999</v>
      </c>
      <c r="D4257" t="s">
        <v>5</v>
      </c>
    </row>
    <row r="4258" spans="1:4" x14ac:dyDescent="0.45">
      <c r="A4258" t="s">
        <v>4260</v>
      </c>
      <c r="B4258">
        <v>34.162345600000002</v>
      </c>
      <c r="C4258">
        <v>-119.0389009</v>
      </c>
      <c r="D4258" t="s">
        <v>5</v>
      </c>
    </row>
    <row r="4259" spans="1:4" x14ac:dyDescent="0.45">
      <c r="A4259" t="s">
        <v>4261</v>
      </c>
      <c r="B4259">
        <v>34.162914000000001</v>
      </c>
      <c r="C4259">
        <v>-119.0431742</v>
      </c>
      <c r="D4259" t="s">
        <v>5</v>
      </c>
    </row>
    <row r="4260" spans="1:4" x14ac:dyDescent="0.45">
      <c r="A4260" t="s">
        <v>4262</v>
      </c>
      <c r="B4260">
        <v>34.162893099999998</v>
      </c>
      <c r="C4260">
        <v>-119.043176</v>
      </c>
      <c r="D4260" t="s">
        <v>5</v>
      </c>
    </row>
    <row r="4261" spans="1:4" x14ac:dyDescent="0.45">
      <c r="A4261" t="s">
        <v>4263</v>
      </c>
      <c r="B4261">
        <v>34.161816700000003</v>
      </c>
      <c r="C4261">
        <v>-119.0415476</v>
      </c>
      <c r="D4261" t="str">
        <f>HYPERLINK("https://streetviewpixels-pa.googleapis.com/v1/thumbnail?panoid=KOqvQtyyNnT7FAtemYAILA&amp;cb_client=search.gws-prod.gps&amp;w=408&amp;h=240&amp;yaw=81.20244&amp;pitch=0&amp;thumbfov=100", "link")</f>
        <v>link</v>
      </c>
    </row>
    <row r="4262" spans="1:4" x14ac:dyDescent="0.45">
      <c r="A4262" t="s">
        <v>4264</v>
      </c>
      <c r="B4262">
        <v>34.160632499999998</v>
      </c>
      <c r="C4262">
        <v>-119.0411912</v>
      </c>
      <c r="D4262" t="str">
        <f>HYPERLINK("https://streetviewpixels-pa.googleapis.com/v1/thumbnail?panoid=EWp4h0JoemfUY4REIEuDeg&amp;cb_client=search.gws-prod.gps&amp;w=408&amp;h=240&amp;yaw=85.62774&amp;pitch=0&amp;thumbfov=100", "link")</f>
        <v>link</v>
      </c>
    </row>
    <row r="4263" spans="1:4" x14ac:dyDescent="0.45">
      <c r="A4263" t="s">
        <v>4265</v>
      </c>
      <c r="B4263">
        <v>34.160716800000003</v>
      </c>
      <c r="C4263">
        <v>-119.0448738</v>
      </c>
      <c r="D4263" t="str">
        <f>HYPERLINK("https://streetviewpixels-pa.googleapis.com/v1/thumbnail?panoid=PMG3Cq-_QR51ouK8NTQCQg&amp;cb_client=search.gws-prod.gps&amp;w=408&amp;h=240&amp;yaw=274.46173&amp;pitch=0&amp;thumbfov=100", "link")</f>
        <v>link</v>
      </c>
    </row>
    <row r="4264" spans="1:4" x14ac:dyDescent="0.45">
      <c r="A4264" t="s">
        <v>4266</v>
      </c>
      <c r="B4264">
        <v>34.1601041999999</v>
      </c>
      <c r="C4264">
        <v>-119.04460829999999</v>
      </c>
      <c r="D4264" t="str">
        <f>HYPERLINK("https://streetviewpixels-pa.googleapis.com/v1/thumbnail?panoid=2YSk9c0OeQu950PdWQKkRQ&amp;cb_client=search.gws-prod.gps&amp;w=408&amp;h=240&amp;yaw=23.473454&amp;pitch=0&amp;thumbfov=100", "link")</f>
        <v>link</v>
      </c>
    </row>
    <row r="4265" spans="1:4" x14ac:dyDescent="0.45">
      <c r="A4265" t="s">
        <v>4267</v>
      </c>
      <c r="B4265">
        <v>34.158375399999997</v>
      </c>
      <c r="C4265">
        <v>-119.0407194</v>
      </c>
      <c r="D4265" t="s">
        <v>5</v>
      </c>
    </row>
    <row r="4266" spans="1:4" x14ac:dyDescent="0.45">
      <c r="A4266" t="s">
        <v>4268</v>
      </c>
      <c r="B4266">
        <v>34.159023300000001</v>
      </c>
      <c r="C4266">
        <v>-119.04537670000001</v>
      </c>
      <c r="D4266" t="s">
        <v>5</v>
      </c>
    </row>
    <row r="4267" spans="1:4" x14ac:dyDescent="0.45">
      <c r="A4267" t="s">
        <v>4269</v>
      </c>
      <c r="B4267">
        <v>34.158943899999997</v>
      </c>
      <c r="C4267">
        <v>-119.0449926</v>
      </c>
      <c r="D4267" t="s">
        <v>5</v>
      </c>
    </row>
    <row r="4268" spans="1:4" x14ac:dyDescent="0.45">
      <c r="A4268" t="s">
        <v>4270</v>
      </c>
      <c r="B4268">
        <v>34.212131800000002</v>
      </c>
      <c r="C4268">
        <v>-119.0080555</v>
      </c>
      <c r="D4268" t="str">
        <f>HYPERLINK("https://streetviewpixels-pa.googleapis.com/v1/thumbnail?panoid=KWR3WLI0vmRoerTGnJXdCw&amp;cb_client=search.gws-prod.gps&amp;w=408&amp;h=240&amp;yaw=263.36462&amp;pitch=0&amp;thumbfov=100", "link")</f>
        <v>link</v>
      </c>
    </row>
    <row r="4269" spans="1:4" x14ac:dyDescent="0.45">
      <c r="A4269" t="s">
        <v>4271</v>
      </c>
      <c r="B4269">
        <v>34.212113000000002</v>
      </c>
      <c r="C4269">
        <v>-119.00785399999999</v>
      </c>
      <c r="D4269" t="str">
        <f>HYPERLINK("https://streetviewpixels-pa.googleapis.com/v1/thumbnail?panoid=KWR3WLI0vmRoerTGnJXdCw&amp;cb_client=search.gws-prod.gps&amp;w=408&amp;h=240&amp;yaw=233.8715&amp;pitch=0&amp;thumbfov=100", "link")</f>
        <v>link</v>
      </c>
    </row>
    <row r="4270" spans="1:4" x14ac:dyDescent="0.45">
      <c r="A4270" t="s">
        <v>4272</v>
      </c>
      <c r="B4270">
        <v>34.214084199999903</v>
      </c>
      <c r="C4270">
        <v>-119.0051651</v>
      </c>
      <c r="D4270" t="str">
        <f>HYPERLINK("https://streetviewpixels-pa.googleapis.com/v1/thumbnail?panoid=v9yucfKSl-ZblzfJMu1_NQ&amp;cb_client=search.gws-prod.gps&amp;w=408&amp;h=240&amp;yaw=339.4915&amp;pitch=0&amp;thumbfov=100", "link")</f>
        <v>link</v>
      </c>
    </row>
    <row r="4271" spans="1:4" x14ac:dyDescent="0.45">
      <c r="A4271" t="s">
        <v>4273</v>
      </c>
      <c r="B4271">
        <v>34.215713800000003</v>
      </c>
      <c r="C4271">
        <v>-119.0602482</v>
      </c>
      <c r="D4271" t="str">
        <f>HYPERLINK("https://lh5.googleusercontent.com/p/AF1QipOLnbNeDYYahIiNfAJT31QtkNiUtMXGhOeOClR1=w408-h306-k-no", "link")</f>
        <v>link</v>
      </c>
    </row>
    <row r="4272" spans="1:4" x14ac:dyDescent="0.45">
      <c r="A4272" t="s">
        <v>4274</v>
      </c>
      <c r="B4272">
        <v>34.217143999999998</v>
      </c>
      <c r="C4272">
        <v>-119.0626366</v>
      </c>
      <c r="D4272" t="s">
        <v>5</v>
      </c>
    </row>
    <row r="4273" spans="1:4" x14ac:dyDescent="0.45">
      <c r="A4273" t="s">
        <v>4275</v>
      </c>
      <c r="B4273">
        <v>34.218299299999998</v>
      </c>
      <c r="C4273">
        <v>-119.0686249</v>
      </c>
      <c r="D4273" t="str">
        <f>HYPERLINK("https://lh5.googleusercontent.com/p/AF1QipPEeGqJMc5e3dLmgzFcfbzV28HakaUuIY3Es2IO=w408-h306-k-no", "link")</f>
        <v>link</v>
      </c>
    </row>
    <row r="4274" spans="1:4" x14ac:dyDescent="0.45">
      <c r="A4274" t="s">
        <v>4276</v>
      </c>
      <c r="B4274">
        <v>34.2225897</v>
      </c>
      <c r="C4274">
        <v>-119.0755836</v>
      </c>
      <c r="D4274" t="str">
        <f>HYPERLINK("https://lh5.googleusercontent.com/p/AF1QipMbm0pK9m2h6RA3XZo5R2ovoFmQUkW8_nfRDLy0=w408-h306-k-no", "link")</f>
        <v>link</v>
      </c>
    </row>
    <row r="4275" spans="1:4" x14ac:dyDescent="0.45">
      <c r="A4275" t="s">
        <v>4277</v>
      </c>
      <c r="B4275">
        <v>34.225269900000001</v>
      </c>
      <c r="C4275">
        <v>-119.0866048</v>
      </c>
      <c r="D4275" t="str">
        <f>HYPERLINK("https://lh5.googleusercontent.com/p/AF1QipNkWjv_JA8lLmP8V4Mg8w_x-RFQlTLu_XjtS5H3=w408-h306-k-no", "link")</f>
        <v>link</v>
      </c>
    </row>
    <row r="4276" spans="1:4" x14ac:dyDescent="0.45">
      <c r="A4276" t="s">
        <v>4278</v>
      </c>
      <c r="B4276">
        <v>34.226242599999999</v>
      </c>
      <c r="C4276">
        <v>-119.08664469999999</v>
      </c>
      <c r="D4276" t="str">
        <f>HYPERLINK("https://lh5.googleusercontent.com/p/AF1QipOwSGIOKrFfzvyPsXj_GnHL6Fvpz4nlEiTuNcQa=w408-h306-k-no", "link")</f>
        <v>link</v>
      </c>
    </row>
    <row r="4277" spans="1:4" x14ac:dyDescent="0.45">
      <c r="A4277" t="s">
        <v>4279</v>
      </c>
      <c r="B4277">
        <v>34.225017600000001</v>
      </c>
      <c r="C4277">
        <v>-119.15404289999999</v>
      </c>
      <c r="D4277" t="str">
        <f>HYPERLINK("https://lh5.googleusercontent.com/p/AF1QipO57z2wl_uV5dPmXvW39y46HCJoRa8xE4yyT5cu=w408-h306-k-no", "link")</f>
        <v>link</v>
      </c>
    </row>
    <row r="4278" spans="1:4" x14ac:dyDescent="0.45">
      <c r="A4278" t="s">
        <v>4280</v>
      </c>
      <c r="B4278">
        <v>34.155925000000003</v>
      </c>
      <c r="C4278">
        <v>-118.98209799999999</v>
      </c>
      <c r="D4278" t="str">
        <f>HYPERLINK("https://lh5.googleusercontent.com/p/AF1QipMcJGalecJSnh5jMyZKVT3Lnk3JeWK5xjc2AECY=w507-h240-k-no", "link")</f>
        <v>link</v>
      </c>
    </row>
    <row r="4279" spans="1:4" x14ac:dyDescent="0.45">
      <c r="A4279" t="s">
        <v>4281</v>
      </c>
      <c r="B4279">
        <v>34.185647000000003</v>
      </c>
      <c r="C4279">
        <v>-118.95368329999999</v>
      </c>
      <c r="D4279" t="s">
        <v>5</v>
      </c>
    </row>
    <row r="4280" spans="1:4" x14ac:dyDescent="0.45">
      <c r="A4280" t="s">
        <v>4282</v>
      </c>
      <c r="B4280">
        <v>34.1837789</v>
      </c>
      <c r="C4280">
        <v>-118.9533649</v>
      </c>
      <c r="D4280" t="s">
        <v>5</v>
      </c>
    </row>
    <row r="4281" spans="1:4" x14ac:dyDescent="0.45">
      <c r="A4281" t="s">
        <v>4283</v>
      </c>
      <c r="B4281">
        <v>34.182678500000002</v>
      </c>
      <c r="C4281">
        <v>-118.95222769999999</v>
      </c>
      <c r="D4281" t="s">
        <v>5</v>
      </c>
    </row>
    <row r="4282" spans="1:4" x14ac:dyDescent="0.45">
      <c r="A4282" t="s">
        <v>4284</v>
      </c>
      <c r="B4282">
        <v>34.115557599999903</v>
      </c>
      <c r="C4282">
        <v>-119.08818100000001</v>
      </c>
      <c r="D4282" t="s">
        <v>5</v>
      </c>
    </row>
    <row r="4283" spans="1:4" x14ac:dyDescent="0.45">
      <c r="A4283" t="s">
        <v>4285</v>
      </c>
      <c r="B4283">
        <v>34.155083900000001</v>
      </c>
      <c r="C4283">
        <v>-118.9736607</v>
      </c>
      <c r="D4283" t="str">
        <f>HYPERLINK("https://lh5.googleusercontent.com/p/AF1QipMsLHaIr-Ze8SjRjH2UQ_jSIdD-wrcSK-SVAQzP=w408-h306-k-no", "link")</f>
        <v>link</v>
      </c>
    </row>
    <row r="4284" spans="1:4" x14ac:dyDescent="0.45">
      <c r="A4284" t="s">
        <v>4286</v>
      </c>
      <c r="B4284">
        <v>34.153414499999997</v>
      </c>
      <c r="C4284">
        <v>-118.9702315</v>
      </c>
      <c r="D4284" t="str">
        <f>HYPERLINK("https://streetviewpixels-pa.googleapis.com/v1/thumbnail?panoid=0W7cjp1uHhBw1VE1N3ydcg&amp;cb_client=search.gws-prod.gps&amp;w=408&amp;h=240&amp;yaw=15.111716&amp;pitch=0&amp;thumbfov=100", "link")</f>
        <v>link</v>
      </c>
    </row>
    <row r="4285" spans="1:4" x14ac:dyDescent="0.45">
      <c r="A4285" t="s">
        <v>4287</v>
      </c>
      <c r="B4285">
        <v>34.152647000000002</v>
      </c>
      <c r="C4285">
        <v>-118.966548</v>
      </c>
      <c r="D4285" t="str">
        <f>HYPERLINK("https://lh5.googleusercontent.com/p/AF1QipO_J-xZNBlUkCJ27tbCvIsM6ny2IUz78Mo99i_s=w408-h306-k-no", "link")</f>
        <v>link</v>
      </c>
    </row>
    <row r="4286" spans="1:4" x14ac:dyDescent="0.45">
      <c r="A4286" t="s">
        <v>4288</v>
      </c>
      <c r="B4286">
        <v>34.398644300000001</v>
      </c>
      <c r="C4286">
        <v>-118.91193029999999</v>
      </c>
      <c r="D4286" t="str">
        <f>HYPERLINK("https://streetviewpixels-pa.googleapis.com/v1/thumbnail?panoid=YqasftPDoTdJS3OZha3_PQ&amp;cb_client=search.gws-prod.gps&amp;w=408&amp;h=240&amp;yaw=5.938609&amp;pitch=0&amp;thumbfov=100", "link")</f>
        <v>link</v>
      </c>
    </row>
    <row r="4287" spans="1:4" x14ac:dyDescent="0.45">
      <c r="A4287" t="s">
        <v>4289</v>
      </c>
      <c r="B4287">
        <v>34.298157400000001</v>
      </c>
      <c r="C4287">
        <v>-118.8359346</v>
      </c>
      <c r="D4287" t="s">
        <v>5</v>
      </c>
    </row>
    <row r="4288" spans="1:4" x14ac:dyDescent="0.45">
      <c r="A4288" t="s">
        <v>4290</v>
      </c>
      <c r="B4288">
        <v>34.208359399999999</v>
      </c>
      <c r="C4288">
        <v>-118.8819805</v>
      </c>
      <c r="D4288" t="s">
        <v>5</v>
      </c>
    </row>
    <row r="4289" spans="1:4" x14ac:dyDescent="0.45">
      <c r="A4289" t="s">
        <v>4291</v>
      </c>
      <c r="B4289">
        <v>34.207724900000002</v>
      </c>
      <c r="C4289">
        <v>-118.88507490000001</v>
      </c>
      <c r="D4289" t="s">
        <v>5</v>
      </c>
    </row>
    <row r="4290" spans="1:4" x14ac:dyDescent="0.45">
      <c r="A4290" t="s">
        <v>4292</v>
      </c>
      <c r="B4290">
        <v>34.210498899999997</v>
      </c>
      <c r="C4290">
        <v>-118.9235685</v>
      </c>
      <c r="D4290" t="s">
        <v>5</v>
      </c>
    </row>
    <row r="4291" spans="1:4" x14ac:dyDescent="0.45">
      <c r="A4291" t="s">
        <v>4293</v>
      </c>
      <c r="B4291">
        <v>34.207311900000001</v>
      </c>
      <c r="C4291">
        <v>-118.8838918</v>
      </c>
      <c r="D4291" t="s">
        <v>5</v>
      </c>
    </row>
    <row r="4292" spans="1:4" x14ac:dyDescent="0.45">
      <c r="A4292" t="s">
        <v>4294</v>
      </c>
      <c r="B4292">
        <v>34.206620000000001</v>
      </c>
      <c r="C4292">
        <v>-118.88534799999999</v>
      </c>
      <c r="D4292" t="s">
        <v>5</v>
      </c>
    </row>
    <row r="4293" spans="1:4" x14ac:dyDescent="0.45">
      <c r="A4293" t="s">
        <v>4295</v>
      </c>
      <c r="B4293">
        <v>34.206432100000001</v>
      </c>
      <c r="C4293">
        <v>-118.8845288</v>
      </c>
      <c r="D4293" t="s">
        <v>5</v>
      </c>
    </row>
    <row r="4294" spans="1:4" x14ac:dyDescent="0.45">
      <c r="A4294" t="s">
        <v>4296</v>
      </c>
      <c r="B4294">
        <v>34.209017000000003</v>
      </c>
      <c r="C4294">
        <v>-118.86884929999999</v>
      </c>
      <c r="D4294" t="str">
        <f>HYPERLINK("https://streetviewpixels-pa.googleapis.com/v1/thumbnail?panoid=Je6e30SSYrXJ4qw-YIXJiQ&amp;cb_client=search.gws-prod.gps&amp;w=408&amp;h=240&amp;yaw=16.680668&amp;pitch=0&amp;thumbfov=100", "link")</f>
        <v>link</v>
      </c>
    </row>
    <row r="4295" spans="1:4" x14ac:dyDescent="0.45">
      <c r="A4295" t="s">
        <v>4297</v>
      </c>
      <c r="B4295">
        <v>34.2988754</v>
      </c>
      <c r="C4295">
        <v>-118.83218770000001</v>
      </c>
      <c r="D4295" t="s">
        <v>5</v>
      </c>
    </row>
    <row r="4296" spans="1:4" x14ac:dyDescent="0.45">
      <c r="A4296" t="s">
        <v>4298</v>
      </c>
      <c r="B4296">
        <v>34.251753000000001</v>
      </c>
      <c r="C4296">
        <v>-118.82336239999999</v>
      </c>
      <c r="D4296" t="str">
        <f>HYPERLINK("https://lh5.googleusercontent.com/p/AF1QipM9Rr2QYlw-fC_DCRMDSOoAZG_ssgxKXCRKT4-t=w426-h240-k-no", "link")</f>
        <v>link</v>
      </c>
    </row>
    <row r="4297" spans="1:4" x14ac:dyDescent="0.45">
      <c r="A4297" t="s">
        <v>4299</v>
      </c>
      <c r="B4297">
        <v>34.300428199999999</v>
      </c>
      <c r="C4297">
        <v>-118.83109519999999</v>
      </c>
      <c r="D4297" t="s">
        <v>5</v>
      </c>
    </row>
    <row r="4298" spans="1:4" x14ac:dyDescent="0.45">
      <c r="A4298" t="s">
        <v>4300</v>
      </c>
      <c r="B4298">
        <v>34.3031437</v>
      </c>
      <c r="C4298">
        <v>-118.832916</v>
      </c>
      <c r="D4298" t="s">
        <v>5</v>
      </c>
    </row>
    <row r="4299" spans="1:4" x14ac:dyDescent="0.45">
      <c r="A4299" t="s">
        <v>4301</v>
      </c>
      <c r="B4299">
        <v>34.258439500000001</v>
      </c>
      <c r="C4299">
        <v>-118.8198053</v>
      </c>
      <c r="D4299" t="s">
        <v>5</v>
      </c>
    </row>
    <row r="4300" spans="1:4" x14ac:dyDescent="0.45">
      <c r="A4300" t="s">
        <v>4302</v>
      </c>
      <c r="B4300">
        <v>34.2669201</v>
      </c>
      <c r="C4300">
        <v>-118.8974628</v>
      </c>
      <c r="D4300" t="str">
        <f>HYPERLINK("https://streetviewpixels-pa.googleapis.com/v1/thumbnail?panoid=Lv_GK0FJff-dEUfwpPrGXg&amp;cb_client=search.gws-prod.gps&amp;w=408&amp;h=240&amp;yaw=284.1278&amp;pitch=0&amp;thumbfov=100", "link")</f>
        <v>link</v>
      </c>
    </row>
    <row r="4301" spans="1:4" x14ac:dyDescent="0.45">
      <c r="A4301" t="s">
        <v>4303</v>
      </c>
      <c r="B4301">
        <v>34.280209399999997</v>
      </c>
      <c r="C4301">
        <v>-118.8867308</v>
      </c>
      <c r="D4301" t="str">
        <f>HYPERLINK("https://streetviewpixels-pa.googleapis.com/v1/thumbnail?panoid=O9spFnSDZ6vYgY-etjw8Pw&amp;cb_client=search.gws-prod.gps&amp;w=408&amp;h=240&amp;yaw=158.43713&amp;pitch=0&amp;thumbfov=100", "link")</f>
        <v>link</v>
      </c>
    </row>
    <row r="4302" spans="1:4" x14ac:dyDescent="0.45">
      <c r="A4302" t="s">
        <v>4304</v>
      </c>
      <c r="B4302">
        <v>34.228970400000001</v>
      </c>
      <c r="C4302">
        <v>-118.880743</v>
      </c>
      <c r="D4302" t="str">
        <f>HYPERLINK("https://streetviewpixels-pa.googleapis.com/v1/thumbnail?panoid=CR3xYYdZ67r8ZLszc540Aw&amp;cb_client=search.gws-prod.gps&amp;w=408&amp;h=240&amp;yaw=41.985474&amp;pitch=0&amp;thumbfov=100", "link")</f>
        <v>link</v>
      </c>
    </row>
    <row r="4303" spans="1:4" x14ac:dyDescent="0.45">
      <c r="A4303" t="s">
        <v>4305</v>
      </c>
      <c r="B4303">
        <v>34.2358318</v>
      </c>
      <c r="C4303">
        <v>-118.86564250000001</v>
      </c>
      <c r="D4303" t="s">
        <v>5</v>
      </c>
    </row>
    <row r="4304" spans="1:4" x14ac:dyDescent="0.45">
      <c r="A4304" t="s">
        <v>4306</v>
      </c>
      <c r="B4304">
        <v>34.226466600000002</v>
      </c>
      <c r="C4304">
        <v>-118.87624649999999</v>
      </c>
      <c r="D4304" t="s">
        <v>5</v>
      </c>
    </row>
    <row r="4305" spans="1:4" x14ac:dyDescent="0.45">
      <c r="A4305" t="s">
        <v>4307</v>
      </c>
      <c r="B4305">
        <v>34.2263272</v>
      </c>
      <c r="C4305">
        <v>-118.8766213</v>
      </c>
      <c r="D4305" t="s">
        <v>5</v>
      </c>
    </row>
    <row r="4306" spans="1:4" x14ac:dyDescent="0.45">
      <c r="A4306" t="s">
        <v>4308</v>
      </c>
      <c r="B4306">
        <v>34.224691499999999</v>
      </c>
      <c r="C4306">
        <v>-118.87956920000001</v>
      </c>
      <c r="D4306" t="s">
        <v>5</v>
      </c>
    </row>
    <row r="4307" spans="1:4" x14ac:dyDescent="0.45">
      <c r="A4307" t="s">
        <v>4309</v>
      </c>
      <c r="B4307">
        <v>34.224642899999999</v>
      </c>
      <c r="C4307">
        <v>-118.87947749999999</v>
      </c>
      <c r="D4307" t="s">
        <v>5</v>
      </c>
    </row>
    <row r="4308" spans="1:4" x14ac:dyDescent="0.45">
      <c r="A4308" t="s">
        <v>4310</v>
      </c>
      <c r="B4308">
        <v>34.224606899999998</v>
      </c>
      <c r="C4308">
        <v>-118.8762691</v>
      </c>
      <c r="D4308" t="str">
        <f>HYPERLINK("https://streetviewpixels-pa.googleapis.com/v1/thumbnail?panoid=uPOT0KYGeL-IUKsV7nuzYw&amp;cb_client=search.gws-prod.gps&amp;w=408&amp;h=240&amp;yaw=120.55998&amp;pitch=0&amp;thumbfov=100", "link")</f>
        <v>link</v>
      </c>
    </row>
    <row r="4309" spans="1:4" x14ac:dyDescent="0.45">
      <c r="A4309" t="s">
        <v>4311</v>
      </c>
      <c r="B4309">
        <v>34.224556300000003</v>
      </c>
      <c r="C4309">
        <v>-118.87624649999999</v>
      </c>
      <c r="D4309" t="str">
        <f>HYPERLINK("https://streetviewpixels-pa.googleapis.com/v1/thumbnail?panoid=uPOT0KYGeL-IUKsV7nuzYw&amp;cb_client=search.gws-prod.gps&amp;w=408&amp;h=240&amp;yaw=120.55998&amp;pitch=0&amp;thumbfov=100", "link")</f>
        <v>link</v>
      </c>
    </row>
    <row r="4310" spans="1:4" x14ac:dyDescent="0.45">
      <c r="A4310" t="s">
        <v>4312</v>
      </c>
      <c r="B4310">
        <v>34.220158099999999</v>
      </c>
      <c r="C4310">
        <v>-118.9028098</v>
      </c>
      <c r="D4310" t="str">
        <f>HYPERLINK("https://lh5.googleusercontent.com/p/AF1QipMgU_5dDMe5n49deDEiQvuJ7LJUDe2R6Oopd2XB=w425-h240-k-no", "link")</f>
        <v>link</v>
      </c>
    </row>
    <row r="4311" spans="1:4" x14ac:dyDescent="0.45">
      <c r="A4311" t="s">
        <v>4313</v>
      </c>
      <c r="B4311">
        <v>34.221279600000003</v>
      </c>
      <c r="C4311">
        <v>-118.87738419999999</v>
      </c>
      <c r="D4311" t="s">
        <v>5</v>
      </c>
    </row>
    <row r="4312" spans="1:4" x14ac:dyDescent="0.45">
      <c r="A4312" t="s">
        <v>4314</v>
      </c>
      <c r="B4312">
        <v>34.2215968</v>
      </c>
      <c r="C4312">
        <v>-118.8758369</v>
      </c>
      <c r="D4312" t="s">
        <v>5</v>
      </c>
    </row>
    <row r="4313" spans="1:4" x14ac:dyDescent="0.45">
      <c r="A4313" t="s">
        <v>4315</v>
      </c>
      <c r="B4313">
        <v>34.221185699999999</v>
      </c>
      <c r="C4313">
        <v>-118.8769746</v>
      </c>
      <c r="D4313" t="s">
        <v>5</v>
      </c>
    </row>
    <row r="4314" spans="1:4" x14ac:dyDescent="0.45">
      <c r="A4314" t="s">
        <v>4316</v>
      </c>
      <c r="B4314">
        <v>34.292962000000003</v>
      </c>
      <c r="C4314">
        <v>-118.84203479999999</v>
      </c>
      <c r="D4314" t="str">
        <f>HYPERLINK("https://streetviewpixels-pa.googleapis.com/v1/thumbnail?panoid=isA4W27vEMwHsAwHv1yH6g&amp;cb_client=search.gws-prod.gps&amp;w=408&amp;h=240&amp;yaw=176.3255&amp;pitch=0&amp;thumbfov=100", "link")</f>
        <v>link</v>
      </c>
    </row>
    <row r="4315" spans="1:4" x14ac:dyDescent="0.45">
      <c r="A4315" t="s">
        <v>4317</v>
      </c>
      <c r="B4315">
        <v>34.246968799999998</v>
      </c>
      <c r="C4315">
        <v>-118.83498299999999</v>
      </c>
      <c r="D4315" t="str">
        <f>HYPERLINK("https://streetviewpixels-pa.googleapis.com/v1/thumbnail?panoid=JELzviWgM16Isp5t0PJ7iw&amp;cb_client=search.gws-prod.gps&amp;w=408&amp;h=240&amp;yaw=92.74769&amp;pitch=0&amp;thumbfov=100", "link")</f>
        <v>link</v>
      </c>
    </row>
    <row r="4316" spans="1:4" x14ac:dyDescent="0.45">
      <c r="A4316" t="s">
        <v>4318</v>
      </c>
      <c r="B4316">
        <v>34.212861599999997</v>
      </c>
      <c r="C4316">
        <v>-118.8713381</v>
      </c>
      <c r="D4316" t="s">
        <v>5</v>
      </c>
    </row>
    <row r="4317" spans="1:4" x14ac:dyDescent="0.45">
      <c r="A4317" t="s">
        <v>4319</v>
      </c>
      <c r="B4317">
        <v>34.299399000000001</v>
      </c>
      <c r="C4317">
        <v>-118.8380599</v>
      </c>
      <c r="D4317" t="s">
        <v>5</v>
      </c>
    </row>
    <row r="4318" spans="1:4" x14ac:dyDescent="0.45">
      <c r="A4318" t="s">
        <v>4320</v>
      </c>
      <c r="B4318">
        <v>34.2126606</v>
      </c>
      <c r="C4318">
        <v>-118.8685801</v>
      </c>
      <c r="D4318" t="str">
        <f>HYPERLINK("https://streetviewpixels-pa.googleapis.com/v1/thumbnail?panoid=NCJqYRgrGRMEFTXYjHJriQ&amp;cb_client=search.gws-prod.gps&amp;w=408&amp;h=240&amp;yaw=71.621216&amp;pitch=0&amp;thumbfov=100", "link")</f>
        <v>link</v>
      </c>
    </row>
    <row r="4319" spans="1:4" x14ac:dyDescent="0.45">
      <c r="A4319" t="s">
        <v>4321</v>
      </c>
      <c r="B4319">
        <v>34.208379800000003</v>
      </c>
      <c r="C4319">
        <v>-118.8840738</v>
      </c>
      <c r="D4319" t="str">
        <f>HYPERLINK("https://streetviewpixels-pa.googleapis.com/v1/thumbnail?panoid=vmM0jJ_3rva91ocGk__9jg&amp;cb_client=search.gws-prod.gps&amp;w=408&amp;h=240&amp;yaw=359.9583&amp;pitch=0&amp;thumbfov=100", "link")</f>
        <v>link</v>
      </c>
    </row>
    <row r="4320" spans="1:4" x14ac:dyDescent="0.45">
      <c r="A4320" t="s">
        <v>4322</v>
      </c>
      <c r="B4320">
        <v>34.2851365</v>
      </c>
      <c r="C4320">
        <v>-118.8115722</v>
      </c>
      <c r="D4320" t="s">
        <v>5</v>
      </c>
    </row>
    <row r="4321" spans="1:4" x14ac:dyDescent="0.45">
      <c r="A4321" t="s">
        <v>4323</v>
      </c>
      <c r="B4321">
        <v>34.281862500000003</v>
      </c>
      <c r="C4321">
        <v>-118.79949980000001</v>
      </c>
      <c r="D4321" t="s">
        <v>5</v>
      </c>
    </row>
    <row r="4322" spans="1:4" x14ac:dyDescent="0.45">
      <c r="A4322" t="s">
        <v>4324</v>
      </c>
      <c r="B4322">
        <v>34.283908099999898</v>
      </c>
      <c r="C4322">
        <v>-118.7954702</v>
      </c>
      <c r="D4322" t="str">
        <f>HYPERLINK("https://streetviewpixels-pa.googleapis.com/v1/thumbnail?panoid=jcJkTVt92u6K5KOnF8CVzw&amp;cb_client=search.gws-prod.gps&amp;w=408&amp;h=240&amp;yaw=87.1795&amp;pitch=0&amp;thumbfov=100", "link")</f>
        <v>link</v>
      </c>
    </row>
    <row r="4323" spans="1:4" x14ac:dyDescent="0.45">
      <c r="A4323" t="s">
        <v>4325</v>
      </c>
      <c r="B4323">
        <v>34.282191399999903</v>
      </c>
      <c r="C4323">
        <v>-118.7930968</v>
      </c>
      <c r="D4323" t="str">
        <f>HYPERLINK("https://streetviewpixels-pa.googleapis.com/v1/thumbnail?panoid=yTGBXJTSiyVKUg3M7e4bNQ&amp;cb_client=search.gws-prod.gps&amp;w=408&amp;h=240&amp;yaw=72.78032&amp;pitch=0&amp;thumbfov=100", "link")</f>
        <v>link</v>
      </c>
    </row>
    <row r="4324" spans="1:4" x14ac:dyDescent="0.45">
      <c r="A4324" t="s">
        <v>4326</v>
      </c>
      <c r="B4324">
        <v>34.272787699999903</v>
      </c>
      <c r="C4324">
        <v>-118.7731902</v>
      </c>
      <c r="D4324" t="str">
        <f>HYPERLINK("https://streetviewpixels-pa.googleapis.com/v1/thumbnail?panoid=YJCkM3ExywJzvVMQMxbr4g&amp;cb_client=search.gws-prod.gps&amp;w=408&amp;h=240&amp;yaw=136.1215&amp;pitch=0&amp;thumbfov=100", "link")</f>
        <v>link</v>
      </c>
    </row>
    <row r="4325" spans="1:4" x14ac:dyDescent="0.45">
      <c r="A4325" t="s">
        <v>4327</v>
      </c>
      <c r="B4325">
        <v>34.284167600000004</v>
      </c>
      <c r="C4325">
        <v>-118.7682102</v>
      </c>
      <c r="D4325" t="str">
        <f>HYPERLINK("https://streetviewpixels-pa.googleapis.com/v1/thumbnail?panoid=LU5aDLPPB8IjWNiqwzYmqA&amp;cb_client=search.gws-prod.gps&amp;w=408&amp;h=240&amp;yaw=344.47125&amp;pitch=0&amp;thumbfov=100", "link")</f>
        <v>link</v>
      </c>
    </row>
    <row r="4326" spans="1:4" x14ac:dyDescent="0.45">
      <c r="A4326" t="s">
        <v>4328</v>
      </c>
      <c r="B4326">
        <v>34.281606799999999</v>
      </c>
      <c r="C4326">
        <v>-118.7619279</v>
      </c>
      <c r="D4326" t="str">
        <f>HYPERLINK("https://lh5.googleusercontent.com/p/AF1QipN38FOou3EdsEkR1jC-CfLVuYI6S-Z4IUYnr7ur=w408-h749-k-no", "link")</f>
        <v>link</v>
      </c>
    </row>
    <row r="4327" spans="1:4" x14ac:dyDescent="0.45">
      <c r="A4327" t="s">
        <v>4329</v>
      </c>
      <c r="B4327">
        <v>34.281602399999898</v>
      </c>
      <c r="C4327">
        <v>-118.74441040000001</v>
      </c>
      <c r="D4327" t="str">
        <f>HYPERLINK("https://streetviewpixels-pa.googleapis.com/v1/thumbnail?panoid=-m6gVJek3U5LrXKn_-tLFQ&amp;cb_client=search.gws-prod.gps&amp;w=408&amp;h=240&amp;yaw=18.270287&amp;pitch=0&amp;thumbfov=100", "link")</f>
        <v>link</v>
      </c>
    </row>
    <row r="4328" spans="1:4" x14ac:dyDescent="0.45">
      <c r="A4328" t="s">
        <v>4330</v>
      </c>
      <c r="B4328">
        <v>34.281660299999999</v>
      </c>
      <c r="C4328">
        <v>-118.7443847</v>
      </c>
      <c r="D4328" t="str">
        <f>HYPERLINK("https://streetviewpixels-pa.googleapis.com/v1/thumbnail?panoid=DNB_jEFboQg1X4T_m_hC2A&amp;cb_client=search.gws-prod.gps&amp;w=408&amp;h=240&amp;yaw=190.5599&amp;pitch=0&amp;thumbfov=100", "link")</f>
        <v>link</v>
      </c>
    </row>
    <row r="4329" spans="1:4" x14ac:dyDescent="0.45">
      <c r="A4329" t="s">
        <v>4331</v>
      </c>
      <c r="B4329">
        <v>34.2783996</v>
      </c>
      <c r="C4329">
        <v>-118.7295487</v>
      </c>
      <c r="D4329" t="s">
        <v>5</v>
      </c>
    </row>
    <row r="4330" spans="1:4" x14ac:dyDescent="0.45">
      <c r="A4330" t="s">
        <v>4332</v>
      </c>
      <c r="B4330">
        <v>34.228350599999899</v>
      </c>
      <c r="C4330">
        <v>-118.8030335</v>
      </c>
      <c r="D4330" t="s">
        <v>5</v>
      </c>
    </row>
    <row r="4331" spans="1:4" x14ac:dyDescent="0.45">
      <c r="A4331" t="s">
        <v>4333</v>
      </c>
      <c r="B4331">
        <v>34.289017100000002</v>
      </c>
      <c r="C4331">
        <v>-118.7222603</v>
      </c>
      <c r="D4331" t="s">
        <v>5</v>
      </c>
    </row>
    <row r="4332" spans="1:4" x14ac:dyDescent="0.45">
      <c r="A4332" t="s">
        <v>4334</v>
      </c>
      <c r="B4332">
        <v>34.285142999999998</v>
      </c>
      <c r="C4332">
        <v>-118.71852579999999</v>
      </c>
      <c r="D4332" t="str">
        <f>HYPERLINK("https://streetviewpixels-pa.googleapis.com/v1/thumbnail?panoid=sEA_5SrwdO0fW5fvjPz5fA&amp;cb_client=search.gws-prod.gps&amp;w=408&amp;h=240&amp;yaw=248.01685&amp;pitch=0&amp;thumbfov=100", "link")</f>
        <v>link</v>
      </c>
    </row>
    <row r="4333" spans="1:4" x14ac:dyDescent="0.45">
      <c r="A4333" t="s">
        <v>4335</v>
      </c>
      <c r="B4333">
        <v>34.1798334</v>
      </c>
      <c r="C4333">
        <v>-118.86932899999999</v>
      </c>
      <c r="D4333" t="str">
        <f>HYPERLINK("https://streetviewpixels-pa.googleapis.com/v1/thumbnail?panoid=zsCCO_bW2ogrlM6MFUZpzQ&amp;cb_client=search.gws-prod.gps&amp;w=408&amp;h=240&amp;yaw=88.950806&amp;pitch=0&amp;thumbfov=100", "link")</f>
        <v>link</v>
      </c>
    </row>
    <row r="4334" spans="1:4" x14ac:dyDescent="0.45">
      <c r="A4334" t="s">
        <v>4336</v>
      </c>
      <c r="B4334">
        <v>34.185435200000001</v>
      </c>
      <c r="C4334">
        <v>-118.8686008</v>
      </c>
      <c r="D4334" t="str">
        <f>HYPERLINK("https://streetviewpixels-pa.googleapis.com/v1/thumbnail?panoid=2vjC-O2T0zV3m8_jJ_OYDA&amp;cb_client=search.gws-prod.gps&amp;w=408&amp;h=240&amp;yaw=198.58556&amp;pitch=0&amp;thumbfov=100", "link")</f>
        <v>link</v>
      </c>
    </row>
    <row r="4335" spans="1:4" x14ac:dyDescent="0.45">
      <c r="A4335" t="s">
        <v>4337</v>
      </c>
      <c r="B4335">
        <v>34.196805599999998</v>
      </c>
      <c r="C4335">
        <v>-118.8688727</v>
      </c>
      <c r="D4335" t="str">
        <f>HYPERLINK("https://streetviewpixels-pa.googleapis.com/v1/thumbnail?panoid=aXrarYwW9K1r3NfHvcr59A&amp;cb_client=search.gws-prod.gps&amp;w=408&amp;h=240&amp;yaw=9.821962&amp;pitch=0&amp;thumbfov=100", "link")</f>
        <v>link</v>
      </c>
    </row>
    <row r="4336" spans="1:4" x14ac:dyDescent="0.45">
      <c r="A4336" t="s">
        <v>4338</v>
      </c>
      <c r="B4336">
        <v>34.200752399999999</v>
      </c>
      <c r="C4336">
        <v>-118.86942000000001</v>
      </c>
      <c r="D4336" t="s">
        <v>5</v>
      </c>
    </row>
    <row r="4337" spans="1:4" x14ac:dyDescent="0.45">
      <c r="A4337" t="s">
        <v>4339</v>
      </c>
      <c r="B4337">
        <v>34.1937231</v>
      </c>
      <c r="C4337">
        <v>-118.8657791</v>
      </c>
      <c r="D4337" t="s">
        <v>5</v>
      </c>
    </row>
    <row r="4338" spans="1:4" x14ac:dyDescent="0.45">
      <c r="A4338" t="s">
        <v>4340</v>
      </c>
      <c r="B4338">
        <v>34.195122599999998</v>
      </c>
      <c r="C4338">
        <v>-118.8648233</v>
      </c>
      <c r="D4338" t="s">
        <v>5</v>
      </c>
    </row>
    <row r="4339" spans="1:4" x14ac:dyDescent="0.45">
      <c r="A4339" t="s">
        <v>4341</v>
      </c>
      <c r="B4339">
        <v>34.199467800000001</v>
      </c>
      <c r="C4339">
        <v>-118.8548691</v>
      </c>
      <c r="D4339" t="str">
        <f>HYPERLINK("https://streetviewpixels-pa.googleapis.com/v1/thumbnail?panoid=sEUuDAlXJFTifJMu0PwiqQ&amp;cb_client=search.gws-prod.gps&amp;w=408&amp;h=240&amp;yaw=102.1535&amp;pitch=0&amp;thumbfov=100", "link")</f>
        <v>link</v>
      </c>
    </row>
    <row r="4340" spans="1:4" x14ac:dyDescent="0.45">
      <c r="A4340" t="s">
        <v>4342</v>
      </c>
      <c r="B4340">
        <v>34.185542499999997</v>
      </c>
      <c r="C4340">
        <v>-118.9266848</v>
      </c>
      <c r="D4340" t="str">
        <f>HYPERLINK("https://streetviewpixels-pa.googleapis.com/v1/thumbnail?panoid=vBoRyL7_I0XqtnA1ith6OQ&amp;cb_client=search.gws-prod.gps&amp;w=408&amp;h=240&amp;yaw=241.18587&amp;pitch=0&amp;thumbfov=100", "link")</f>
        <v>link</v>
      </c>
    </row>
    <row r="4341" spans="1:4" x14ac:dyDescent="0.45">
      <c r="A4341" t="s">
        <v>4343</v>
      </c>
      <c r="B4341">
        <v>34.183791300000003</v>
      </c>
      <c r="C4341">
        <v>-118.889854</v>
      </c>
      <c r="D4341" t="str">
        <f>HYPERLINK("https://streetviewpixels-pa.googleapis.com/v1/thumbnail?panoid=c1KQyV4lwDvA3eV4TuGn-A&amp;cb_client=search.gws-prod.gps&amp;w=408&amp;h=240&amp;yaw=61.807617&amp;pitch=0&amp;thumbfov=100", "link")</f>
        <v>link</v>
      </c>
    </row>
    <row r="4342" spans="1:4" x14ac:dyDescent="0.45">
      <c r="A4342" t="s">
        <v>4344</v>
      </c>
      <c r="B4342">
        <v>34.1822564</v>
      </c>
      <c r="C4342">
        <v>-118.8853955</v>
      </c>
      <c r="D4342" t="str">
        <f>HYPERLINK("https://lh5.googleusercontent.com/p/AF1QipMsYKXvHX52WWAvTyD11ZPwh4B2H2I9usCQCf4-=w408-h544-k-no", "link")</f>
        <v>link</v>
      </c>
    </row>
    <row r="4343" spans="1:4" x14ac:dyDescent="0.45">
      <c r="A4343" t="s">
        <v>4345</v>
      </c>
      <c r="B4343">
        <v>34.181050499999998</v>
      </c>
      <c r="C4343">
        <v>-118.8838456</v>
      </c>
      <c r="D4343" t="str">
        <f>HYPERLINK("https://streetviewpixels-pa.googleapis.com/v1/thumbnail?panoid=_PvH4a0J546g4sFXEtuC6A&amp;cb_client=search.gws-prod.gps&amp;w=408&amp;h=240&amp;yaw=64.41383&amp;pitch=0&amp;thumbfov=100", "link")</f>
        <v>link</v>
      </c>
    </row>
    <row r="4344" spans="1:4" x14ac:dyDescent="0.45">
      <c r="A4344" t="s">
        <v>4346</v>
      </c>
      <c r="B4344">
        <v>34.184208900000002</v>
      </c>
      <c r="C4344">
        <v>-118.878238</v>
      </c>
      <c r="D4344" t="str">
        <f>HYPERLINK("https://lh5.googleusercontent.com/p/AF1QipNihhO_PdQD3aWcQ83jvznVMlAuiOYAxAIncBT7=w408-h306-k-no", "link")</f>
        <v>link</v>
      </c>
    </row>
    <row r="4345" spans="1:4" x14ac:dyDescent="0.45">
      <c r="A4345" t="s">
        <v>4347</v>
      </c>
      <c r="B4345">
        <v>34.1815839</v>
      </c>
      <c r="C4345">
        <v>-118.8767926</v>
      </c>
      <c r="D4345" t="s">
        <v>5</v>
      </c>
    </row>
    <row r="4346" spans="1:4" x14ac:dyDescent="0.45">
      <c r="A4346" t="s">
        <v>4348</v>
      </c>
      <c r="B4346">
        <v>34.183475700000002</v>
      </c>
      <c r="C4346">
        <v>-118.87624649999999</v>
      </c>
      <c r="D4346" t="s">
        <v>5</v>
      </c>
    </row>
    <row r="4347" spans="1:4" x14ac:dyDescent="0.45">
      <c r="A4347" t="s">
        <v>4349</v>
      </c>
      <c r="B4347">
        <v>34.181403299999999</v>
      </c>
      <c r="C4347">
        <v>-118.8751982</v>
      </c>
      <c r="D4347" t="str">
        <f>HYPERLINK("https://streetviewpixels-pa.googleapis.com/v1/thumbnail?panoid=9fKfzEAwoF3ddJGMP1RGBw&amp;cb_client=search.gws-prod.gps&amp;w=408&amp;h=240&amp;yaw=1.7283617&amp;pitch=0&amp;thumbfov=100", "link")</f>
        <v>link</v>
      </c>
    </row>
    <row r="4348" spans="1:4" x14ac:dyDescent="0.45">
      <c r="A4348" t="s">
        <v>4350</v>
      </c>
      <c r="B4348">
        <v>34.202501499999997</v>
      </c>
      <c r="C4348">
        <v>-118.8768836</v>
      </c>
      <c r="D4348" t="s">
        <v>5</v>
      </c>
    </row>
    <row r="4349" spans="1:4" x14ac:dyDescent="0.45">
      <c r="A4349" t="s">
        <v>4351</v>
      </c>
      <c r="B4349">
        <v>34.176444699999998</v>
      </c>
      <c r="C4349">
        <v>-118.8502347</v>
      </c>
      <c r="D4349" t="str">
        <f>HYPERLINK("https://streetviewpixels-pa.googleapis.com/v1/thumbnail?panoid=UXr0Kbzmidsi-spD5g8MMA&amp;cb_client=search.gws-prod.gps&amp;w=408&amp;h=240&amp;yaw=132.48517&amp;pitch=0&amp;thumbfov=100", "link")</f>
        <v>link</v>
      </c>
    </row>
    <row r="4350" spans="1:4" x14ac:dyDescent="0.45">
      <c r="A4350" t="s">
        <v>4352</v>
      </c>
      <c r="B4350">
        <v>34.174909900000003</v>
      </c>
      <c r="C4350">
        <v>-118.8497486</v>
      </c>
      <c r="D4350" t="str">
        <f>HYPERLINK("https://streetviewpixels-pa.googleapis.com/v1/thumbnail?panoid=EHbKABNTnPohhW8j1A-DyQ&amp;cb_client=search.gws-prod.gps&amp;w=408&amp;h=240&amp;yaw=219.59589&amp;pitch=0&amp;thumbfov=100", "link")</f>
        <v>link</v>
      </c>
    </row>
    <row r="4351" spans="1:4" x14ac:dyDescent="0.45">
      <c r="A4351" t="s">
        <v>4353</v>
      </c>
      <c r="B4351">
        <v>34.175052999999998</v>
      </c>
      <c r="C4351">
        <v>-118.8496458</v>
      </c>
      <c r="D4351" t="str">
        <f>HYPERLINK("https://streetviewpixels-pa.googleapis.com/v1/thumbnail?panoid=EHbKABNTnPohhW8j1A-DyQ&amp;cb_client=search.gws-prod.gps&amp;w=408&amp;h=240&amp;yaw=227.83844&amp;pitch=0&amp;thumbfov=100", "link")</f>
        <v>link</v>
      </c>
    </row>
    <row r="4352" spans="1:4" x14ac:dyDescent="0.45">
      <c r="A4352" t="s">
        <v>4354</v>
      </c>
      <c r="B4352">
        <v>34.200598499999998</v>
      </c>
      <c r="C4352">
        <v>-118.8527538</v>
      </c>
      <c r="D4352" t="str">
        <f>HYPERLINK("https://lh5.googleusercontent.com/p/AF1QipNbN7SamKRGcnO_-SM2iEw_0ANq255Ib7forKl0=w877-h240-k-no", "link")</f>
        <v>link</v>
      </c>
    </row>
    <row r="4353" spans="1:4" x14ac:dyDescent="0.45">
      <c r="A4353" t="s">
        <v>4355</v>
      </c>
      <c r="B4353">
        <v>34.174303000000002</v>
      </c>
      <c r="C4353">
        <v>-118.84890780000001</v>
      </c>
      <c r="D4353" t="str">
        <f>HYPERLINK("https://streetviewpixels-pa.googleapis.com/v1/thumbnail?panoid=EHbKABNTnPohhW8j1A-DyQ&amp;cb_client=search.gws-prod.gps&amp;w=408&amp;h=240&amp;yaw=151.22841&amp;pitch=0&amp;thumbfov=100", "link")</f>
        <v>link</v>
      </c>
    </row>
    <row r="4354" spans="1:4" x14ac:dyDescent="0.45">
      <c r="A4354" t="s">
        <v>4356</v>
      </c>
      <c r="B4354">
        <v>34.178646800000003</v>
      </c>
      <c r="C4354">
        <v>-118.8418204</v>
      </c>
      <c r="D4354" t="str">
        <f>HYPERLINK("https://streetviewpixels-pa.googleapis.com/v1/thumbnail?panoid=AYUWF3kG6FK6jXNd2Nr8rQ&amp;cb_client=search.gws-prod.gps&amp;w=408&amp;h=240&amp;yaw=141.60403&amp;pitch=0&amp;thumbfov=100", "link")</f>
        <v>link</v>
      </c>
    </row>
    <row r="4355" spans="1:4" x14ac:dyDescent="0.45">
      <c r="A4355" t="s">
        <v>4357</v>
      </c>
      <c r="B4355">
        <v>34.169427800000001</v>
      </c>
      <c r="C4355">
        <v>-118.8355732</v>
      </c>
      <c r="D4355" t="str">
        <f>HYPERLINK("https://streetviewpixels-pa.googleapis.com/v1/thumbnail?panoid=LF6qK42xR9v8WQK8aSDugQ&amp;cb_client=search.gws-prod.gps&amp;w=408&amp;h=240&amp;yaw=21.848701&amp;pitch=0&amp;thumbfov=100", "link")</f>
        <v>link</v>
      </c>
    </row>
    <row r="4356" spans="1:4" x14ac:dyDescent="0.45">
      <c r="A4356" t="s">
        <v>4358</v>
      </c>
      <c r="B4356">
        <v>34.388670599999898</v>
      </c>
      <c r="C4356">
        <v>-119.3052272</v>
      </c>
      <c r="D4356" t="str">
        <f>HYPERLINK("https://streetviewpixels-pa.googleapis.com/v1/thumbnail?panoid=kS4c5uyz4iFjnNa3x2i7tQ&amp;cb_client=search.gws-prod.gps&amp;w=408&amp;h=240&amp;yaw=2.9507287&amp;pitch=0&amp;thumbfov=100", "link")</f>
        <v>link</v>
      </c>
    </row>
    <row r="4357" spans="1:4" x14ac:dyDescent="0.45">
      <c r="A4357" t="s">
        <v>4359</v>
      </c>
      <c r="B4357">
        <v>34.402450999999999</v>
      </c>
      <c r="C4357">
        <v>-119.29996730000001</v>
      </c>
      <c r="D4357" t="s">
        <v>5</v>
      </c>
    </row>
    <row r="4358" spans="1:4" x14ac:dyDescent="0.45">
      <c r="A4358" t="s">
        <v>4360</v>
      </c>
      <c r="B4358">
        <v>34.441603899999997</v>
      </c>
      <c r="C4358">
        <v>-119.2601049</v>
      </c>
      <c r="D4358" t="s">
        <v>5</v>
      </c>
    </row>
    <row r="4359" spans="1:4" x14ac:dyDescent="0.45">
      <c r="A4359" t="s">
        <v>4361</v>
      </c>
      <c r="B4359">
        <v>34.274533900000002</v>
      </c>
      <c r="C4359">
        <v>-119.28737719999999</v>
      </c>
      <c r="D4359" t="s">
        <v>5</v>
      </c>
    </row>
    <row r="4360" spans="1:4" x14ac:dyDescent="0.45">
      <c r="A4360" t="s">
        <v>4362</v>
      </c>
      <c r="B4360">
        <v>34.274618199999999</v>
      </c>
      <c r="C4360">
        <v>-119.2985285</v>
      </c>
      <c r="D4360" t="s">
        <v>5</v>
      </c>
    </row>
    <row r="4361" spans="1:4" x14ac:dyDescent="0.45">
      <c r="A4361" t="s">
        <v>4363</v>
      </c>
      <c r="B4361">
        <v>34.274692299999998</v>
      </c>
      <c r="C4361">
        <v>-119.2988058</v>
      </c>
      <c r="D4361" t="s">
        <v>5</v>
      </c>
    </row>
    <row r="4362" spans="1:4" x14ac:dyDescent="0.45">
      <c r="A4362" t="s">
        <v>4364</v>
      </c>
      <c r="B4362">
        <v>34.2820514</v>
      </c>
      <c r="C4362">
        <v>-119.3024559</v>
      </c>
      <c r="D4362" t="str">
        <f>HYPERLINK("https://lh5.googleusercontent.com/p/AF1QipPAKWJdEBS0P5ik4vIGJ0uZiohn2DFGOFeGXGOk=w408-h544-k-no", "link")</f>
        <v>link</v>
      </c>
    </row>
    <row r="4363" spans="1:4" x14ac:dyDescent="0.45">
      <c r="A4363" t="s">
        <v>4365</v>
      </c>
      <c r="B4363">
        <v>34.281788499999998</v>
      </c>
      <c r="C4363">
        <v>-119.3028016</v>
      </c>
      <c r="D4363" t="str">
        <f>HYPERLINK("https://streetviewpixels-pa.googleapis.com/v1/thumbnail?panoid=IWn2JVi7EbPwAf_zwcGajg&amp;cb_client=search.gws-prod.gps&amp;w=408&amp;h=240&amp;yaw=66.10403&amp;pitch=0&amp;thumbfov=100", "link")</f>
        <v>link</v>
      </c>
    </row>
    <row r="4364" spans="1:4" x14ac:dyDescent="0.45">
      <c r="A4364" t="s">
        <v>4366</v>
      </c>
      <c r="B4364">
        <v>34.2814415</v>
      </c>
      <c r="C4364">
        <v>-119.3061098</v>
      </c>
      <c r="D4364" t="s">
        <v>5</v>
      </c>
    </row>
    <row r="4365" spans="1:4" x14ac:dyDescent="0.45">
      <c r="A4365" t="s">
        <v>4367</v>
      </c>
      <c r="B4365">
        <v>34.281209599999997</v>
      </c>
      <c r="C4365">
        <v>-119.306203</v>
      </c>
      <c r="D4365" t="s">
        <v>5</v>
      </c>
    </row>
    <row r="4366" spans="1:4" x14ac:dyDescent="0.45">
      <c r="A4366" t="s">
        <v>4368</v>
      </c>
      <c r="B4366">
        <v>34.281495900000003</v>
      </c>
      <c r="C4366">
        <v>-119.3061798</v>
      </c>
      <c r="D4366" t="str">
        <f>HYPERLINK("https://lh5.googleusercontent.com/p/AF1QipM6C5gDWNffmppIAJPL-VSL6TjoUPO9vciRqSnQ=w408-h306-k-no", "link")</f>
        <v>link</v>
      </c>
    </row>
    <row r="4367" spans="1:4" x14ac:dyDescent="0.45">
      <c r="A4367" t="s">
        <v>4369</v>
      </c>
      <c r="B4367">
        <v>34.2710814</v>
      </c>
      <c r="C4367">
        <v>-119.2793592</v>
      </c>
      <c r="D4367" t="str">
        <f>HYPERLINK("https://streetviewpixels-pa.googleapis.com/v1/thumbnail?panoid=lb3Y3iDqQapP64r5AFuRTw&amp;cb_client=search.gws-prod.gps&amp;w=408&amp;h=240&amp;yaw=17.616064&amp;pitch=0&amp;thumbfov=100", "link")</f>
        <v>link</v>
      </c>
    </row>
    <row r="4368" spans="1:4" x14ac:dyDescent="0.45">
      <c r="A4368" t="s">
        <v>4370</v>
      </c>
      <c r="B4368">
        <v>34.292526799999997</v>
      </c>
      <c r="C4368">
        <v>-119.30091609999999</v>
      </c>
      <c r="D4368" t="str">
        <f>HYPERLINK("https://lh5.googleusercontent.com/p/AF1QipMaPkMvM4DvErzjagkYQ4cQ11iEIwl1o-kfPzjU=w408-h306-k-no", "link")</f>
        <v>link</v>
      </c>
    </row>
    <row r="4369" spans="1:4" x14ac:dyDescent="0.45">
      <c r="A4369" t="s">
        <v>4371</v>
      </c>
      <c r="B4369">
        <v>34.271079499999999</v>
      </c>
      <c r="C4369">
        <v>-119.2769145</v>
      </c>
      <c r="D4369" t="str">
        <f>HYPERLINK("https://streetviewpixels-pa.googleapis.com/v1/thumbnail?panoid=uOQN2t_w65fKc8nnXNbOKg&amp;cb_client=search.gws-prod.gps&amp;w=408&amp;h=240&amp;yaw=216.05934&amp;pitch=0&amp;thumbfov=100", "link")</f>
        <v>link</v>
      </c>
    </row>
    <row r="4370" spans="1:4" x14ac:dyDescent="0.45">
      <c r="A4370" t="s">
        <v>4372</v>
      </c>
      <c r="B4370">
        <v>34.269013800000003</v>
      </c>
      <c r="C4370">
        <v>-119.275884</v>
      </c>
      <c r="D4370" t="str">
        <f>HYPERLINK("https://streetviewpixels-pa.googleapis.com/v1/thumbnail?panoid=JdvD6Vi3649a_vWQiWs74Q&amp;cb_client=search.gws-prod.gps&amp;w=408&amp;h=240&amp;yaw=347.37775&amp;pitch=0&amp;thumbfov=100", "link")</f>
        <v>link</v>
      </c>
    </row>
    <row r="4371" spans="1:4" x14ac:dyDescent="0.45">
      <c r="A4371" t="s">
        <v>4373</v>
      </c>
      <c r="B4371">
        <v>34.274752499999998</v>
      </c>
      <c r="C4371">
        <v>-119.26006700000001</v>
      </c>
      <c r="D4371" t="str">
        <f>HYPERLINK("https://streetviewpixels-pa.googleapis.com/v1/thumbnail?panoid=8ALjjkwbJYWWRe31S68U1Q&amp;cb_client=search.gws-prod.gps&amp;w=408&amp;h=240&amp;yaw=209.63101&amp;pitch=0&amp;thumbfov=100", "link")</f>
        <v>link</v>
      </c>
    </row>
    <row r="4372" spans="1:4" x14ac:dyDescent="0.45">
      <c r="A4372" t="s">
        <v>4374</v>
      </c>
      <c r="B4372">
        <v>34.274792099999999</v>
      </c>
      <c r="C4372">
        <v>-119.2590187</v>
      </c>
      <c r="D4372" t="str">
        <f>HYPERLINK("https://streetviewpixels-pa.googleapis.com/v1/thumbnail?panoid=O7PVnjdnb5zyQsOJdUfl1Q&amp;cb_client=search.gws-prod.gps&amp;w=408&amp;h=240&amp;yaw=226.0242&amp;pitch=0&amp;thumbfov=100", "link")</f>
        <v>link</v>
      </c>
    </row>
    <row r="4373" spans="1:4" x14ac:dyDescent="0.45">
      <c r="A4373" t="s">
        <v>4375</v>
      </c>
      <c r="B4373">
        <v>34.272951200000001</v>
      </c>
      <c r="C4373">
        <v>-119.2578826</v>
      </c>
      <c r="D4373" t="s">
        <v>5</v>
      </c>
    </row>
    <row r="4374" spans="1:4" x14ac:dyDescent="0.45">
      <c r="A4374" t="s">
        <v>4376</v>
      </c>
      <c r="B4374">
        <v>34.250078299999998</v>
      </c>
      <c r="C4374">
        <v>-119.2635543</v>
      </c>
      <c r="D4374" t="str">
        <f>HYPERLINK("https://lh5.googleusercontent.com/p/AF1QipNDSim3hv0SFBc3ouich7z569gATI5oxZsv065W=w426-h240-k-no", "link")</f>
        <v>link</v>
      </c>
    </row>
    <row r="4375" spans="1:4" x14ac:dyDescent="0.45">
      <c r="A4375" t="s">
        <v>4377</v>
      </c>
      <c r="B4375">
        <v>34.246233799999999</v>
      </c>
      <c r="C4375">
        <v>-119.26697009999999</v>
      </c>
      <c r="D4375" t="str">
        <f>HYPERLINK("https://streetviewpixels-pa.googleapis.com/v1/thumbnail?panoid=J7nHgbJZ1zATTAmgzMxF0g&amp;cb_client=search.gws-prod.gps&amp;w=408&amp;h=240&amp;yaw=295.0594&amp;pitch=0&amp;thumbfov=100", "link")</f>
        <v>link</v>
      </c>
    </row>
    <row r="4376" spans="1:4" x14ac:dyDescent="0.45">
      <c r="A4376" t="s">
        <v>4378</v>
      </c>
      <c r="B4376">
        <v>34.246917799999999</v>
      </c>
      <c r="C4376">
        <v>-119.25981</v>
      </c>
      <c r="D4376" t="str">
        <f>HYPERLINK("https://streetviewpixels-pa.googleapis.com/v1/thumbnail?panoid=rWJCpfcC15UZY0UffPeqAQ&amp;cb_client=search.gws-prod.gps&amp;w=408&amp;h=240&amp;yaw=101.86185&amp;pitch=0&amp;thumbfov=100", "link")</f>
        <v>link</v>
      </c>
    </row>
    <row r="4377" spans="1:4" x14ac:dyDescent="0.45">
      <c r="A4377" t="s">
        <v>4379</v>
      </c>
      <c r="B4377">
        <v>34.243200600000002</v>
      </c>
      <c r="C4377">
        <v>-119.2604671</v>
      </c>
      <c r="D4377" t="str">
        <f>HYPERLINK("https://lh5.googleusercontent.com/p/AF1QipMM5L4T4MzlDbueuxumRNXbvKXxKQtMYHsndDZK=w408-h306-k-no", "link")</f>
        <v>link</v>
      </c>
    </row>
    <row r="4378" spans="1:4" x14ac:dyDescent="0.45">
      <c r="A4378" t="s">
        <v>4380</v>
      </c>
      <c r="B4378">
        <v>34.278416200000002</v>
      </c>
      <c r="C4378">
        <v>-119.23359550000001</v>
      </c>
      <c r="D4378" t="s">
        <v>5</v>
      </c>
    </row>
    <row r="4379" spans="1:4" x14ac:dyDescent="0.45">
      <c r="A4379" t="s">
        <v>4381</v>
      </c>
      <c r="B4379">
        <v>34.279667600000003</v>
      </c>
      <c r="C4379">
        <v>-119.2921116</v>
      </c>
      <c r="D4379" t="str">
        <f>HYPERLINK("https://streetviewpixels-pa.googleapis.com/v1/thumbnail?panoid=GT7yvwpNlIqf5eGlDsfOCw&amp;cb_client=search.gws-prod.gps&amp;w=408&amp;h=240&amp;yaw=331.56458&amp;pitch=0&amp;thumbfov=100", "link")</f>
        <v>link</v>
      </c>
    </row>
    <row r="4380" spans="1:4" x14ac:dyDescent="0.45">
      <c r="A4380" t="s">
        <v>4382</v>
      </c>
      <c r="B4380">
        <v>34.279678099999998</v>
      </c>
      <c r="C4380">
        <v>-119.29211720000001</v>
      </c>
      <c r="D4380" t="str">
        <f>HYPERLINK("https://streetviewpixels-pa.googleapis.com/v1/thumbnail?panoid=GT7yvwpNlIqf5eGlDsfOCw&amp;cb_client=search.gws-prod.gps&amp;w=408&amp;h=240&amp;yaw=331.56458&amp;pitch=0&amp;thumbfov=100", "link")</f>
        <v>link</v>
      </c>
    </row>
    <row r="4381" spans="1:4" x14ac:dyDescent="0.45">
      <c r="A4381" t="s">
        <v>4383</v>
      </c>
      <c r="B4381">
        <v>34.279756499999998</v>
      </c>
      <c r="C4381">
        <v>-119.2922397</v>
      </c>
      <c r="D4381" t="str">
        <f>HYPERLINK("https://streetviewpixels-pa.googleapis.com/v1/thumbnail?panoid=GT7yvwpNlIqf5eGlDsfOCw&amp;cb_client=search.gws-prod.gps&amp;w=408&amp;h=240&amp;yaw=331.56458&amp;pitch=0&amp;thumbfov=100", "link")</f>
        <v>link</v>
      </c>
    </row>
    <row r="4382" spans="1:4" x14ac:dyDescent="0.45">
      <c r="A4382" t="s">
        <v>4384</v>
      </c>
      <c r="B4382">
        <v>34.279934799999999</v>
      </c>
      <c r="C4382">
        <v>-119.2922679</v>
      </c>
      <c r="D4382" t="str">
        <f>HYPERLINK("https://streetviewpixels-pa.googleapis.com/v1/thumbnail?panoid=GT7yvwpNlIqf5eGlDsfOCw&amp;cb_client=search.gws-prod.gps&amp;w=408&amp;h=240&amp;yaw=331.56458&amp;pitch=0&amp;thumbfov=100", "link")</f>
        <v>link</v>
      </c>
    </row>
    <row r="4383" spans="1:4" x14ac:dyDescent="0.45">
      <c r="A4383" t="s">
        <v>4385</v>
      </c>
      <c r="B4383">
        <v>34.280185299999999</v>
      </c>
      <c r="C4383">
        <v>-119.2914473</v>
      </c>
      <c r="D4383" t="str">
        <f>HYPERLINK("https://streetviewpixels-pa.googleapis.com/v1/thumbnail?panoid=YyRuAONeDRVnJaSt_Q209w&amp;cb_client=search.gws-prod.gps&amp;w=408&amp;h=240&amp;yaw=179.41577&amp;pitch=0&amp;thumbfov=100", "link")</f>
        <v>link</v>
      </c>
    </row>
    <row r="4384" spans="1:4" x14ac:dyDescent="0.45">
      <c r="A4384" t="s">
        <v>4386</v>
      </c>
      <c r="B4384">
        <v>34.281652399999999</v>
      </c>
      <c r="C4384">
        <v>-119.29246910000001</v>
      </c>
      <c r="D4384" t="str">
        <f>HYPERLINK("https://streetviewpixels-pa.googleapis.com/v1/thumbnail?panoid=ReadqhNMxZjymmV0RW3PZw&amp;cb_client=search.gws-prod.gps&amp;w=408&amp;h=240&amp;yaw=146.8784&amp;pitch=0&amp;thumbfov=100", "link")</f>
        <v>link</v>
      </c>
    </row>
    <row r="4385" spans="1:4" x14ac:dyDescent="0.45">
      <c r="A4385" t="s">
        <v>4387</v>
      </c>
      <c r="B4385">
        <v>34.279247400000003</v>
      </c>
      <c r="C4385">
        <v>-119.2947834</v>
      </c>
      <c r="D4385" t="str">
        <f>HYPERLINK("https://streetviewpixels-pa.googleapis.com/v1/thumbnail?panoid=tiit2cII1jIbBQ_zdRzrsw&amp;cb_client=search.gws-prod.gps&amp;w=408&amp;h=240&amp;yaw=215.50006&amp;pitch=0&amp;thumbfov=100", "link")</f>
        <v>link</v>
      </c>
    </row>
    <row r="4386" spans="1:4" x14ac:dyDescent="0.45">
      <c r="A4386" t="s">
        <v>4388</v>
      </c>
      <c r="B4386">
        <v>34.279929099999997</v>
      </c>
      <c r="C4386">
        <v>-119.2957779</v>
      </c>
      <c r="D4386" t="s">
        <v>5</v>
      </c>
    </row>
    <row r="4387" spans="1:4" x14ac:dyDescent="0.45">
      <c r="A4387" t="s">
        <v>4389</v>
      </c>
      <c r="B4387">
        <v>34.276548899999902</v>
      </c>
      <c r="C4387">
        <v>-119.2927744</v>
      </c>
      <c r="D4387" t="str">
        <f>HYPERLINK("https://lh5.googleusercontent.com/p/AF1QipMxG05rMvH1aRAdW_U-KNA4OXy199WGAGGROkNY=w408-h306-k-no", "link")</f>
        <v>link</v>
      </c>
    </row>
    <row r="4388" spans="1:4" x14ac:dyDescent="0.45">
      <c r="A4388" t="s">
        <v>4390</v>
      </c>
      <c r="B4388">
        <v>34.281617400000002</v>
      </c>
      <c r="C4388">
        <v>-119.2951621</v>
      </c>
      <c r="D4388" t="str">
        <f>HYPERLINK("https://streetviewpixels-pa.googleapis.com/v1/thumbnail?panoid=NqvqkRbW7hkYmMjF07-5rw&amp;cb_client=search.gws-prod.gps&amp;w=408&amp;h=240&amp;yaw=260.76257&amp;pitch=0&amp;thumbfov=100", "link")</f>
        <v>link</v>
      </c>
    </row>
    <row r="4389" spans="1:4" x14ac:dyDescent="0.45">
      <c r="A4389" t="s">
        <v>4391</v>
      </c>
      <c r="B4389">
        <v>34.276366000000003</v>
      </c>
      <c r="C4389">
        <v>-119.292473</v>
      </c>
      <c r="D4389" t="s">
        <v>5</v>
      </c>
    </row>
    <row r="4390" spans="1:4" x14ac:dyDescent="0.45">
      <c r="A4390" t="s">
        <v>4392</v>
      </c>
      <c r="B4390">
        <v>34.283010900000001</v>
      </c>
      <c r="C4390">
        <v>-119.29291430000001</v>
      </c>
      <c r="D4390" t="str">
        <f>HYPERLINK("https://streetviewpixels-pa.googleapis.com/v1/thumbnail?panoid=SRZsIpB84TOMswL5wAX3Pw&amp;cb_client=search.gws-prod.gps&amp;w=408&amp;h=240&amp;yaw=252.72374&amp;pitch=0&amp;thumbfov=100", "link")</f>
        <v>link</v>
      </c>
    </row>
    <row r="4391" spans="1:4" x14ac:dyDescent="0.45">
      <c r="A4391" t="s">
        <v>4393</v>
      </c>
      <c r="B4391">
        <v>34.276071000000002</v>
      </c>
      <c r="C4391">
        <v>-119.29105319999999</v>
      </c>
      <c r="D4391" t="s">
        <v>5</v>
      </c>
    </row>
    <row r="4392" spans="1:4" x14ac:dyDescent="0.45">
      <c r="A4392" t="s">
        <v>4394</v>
      </c>
      <c r="B4392">
        <v>34.276839500000001</v>
      </c>
      <c r="C4392">
        <v>-119.2885185</v>
      </c>
      <c r="D4392" t="str">
        <f>HYPERLINK("https://lh5.googleusercontent.com/p/AF1QipP6vXavX-nnaOwImj8zQGrGw7sFYL0KuEV0ZrjL=w408-h725-k-no", "link")</f>
        <v>link</v>
      </c>
    </row>
    <row r="4393" spans="1:4" x14ac:dyDescent="0.45">
      <c r="A4393" t="s">
        <v>4395</v>
      </c>
      <c r="B4393">
        <v>34.279708300000003</v>
      </c>
      <c r="C4393">
        <v>-119.29707999999999</v>
      </c>
      <c r="D4393" t="str">
        <f>HYPERLINK("https://streetviewpixels-pa.googleapis.com/v1/thumbnail?panoid=Ul59FLWWMwTAniyxq3tFMA&amp;cb_client=search.gws-prod.gps&amp;w=408&amp;h=240&amp;yaw=0.23967777&amp;pitch=0&amp;thumbfov=100", "link")</f>
        <v>link</v>
      </c>
    </row>
    <row r="4394" spans="1:4" x14ac:dyDescent="0.45">
      <c r="A4394" t="s">
        <v>4396</v>
      </c>
      <c r="B4394">
        <v>34.279792100000002</v>
      </c>
      <c r="C4394">
        <v>-119.29709870000001</v>
      </c>
      <c r="D4394" t="str">
        <f>HYPERLINK("https://streetviewpixels-pa.googleapis.com/v1/thumbnail?panoid=Ul59FLWWMwTAniyxq3tFMA&amp;cb_client=search.gws-prod.gps&amp;w=408&amp;h=240&amp;yaw=356.7643&amp;pitch=0&amp;thumbfov=100", "link")</f>
        <v>link</v>
      </c>
    </row>
    <row r="4395" spans="1:4" x14ac:dyDescent="0.45">
      <c r="A4395" t="s">
        <v>4397</v>
      </c>
      <c r="B4395">
        <v>34.281667900000002</v>
      </c>
      <c r="C4395">
        <v>-119.297061</v>
      </c>
      <c r="D4395" t="str">
        <f>HYPERLINK("https://streetviewpixels-pa.googleapis.com/v1/thumbnail?panoid=OC4LFIfqs-ubH0AUsE-TWQ&amp;cb_client=search.gws-prod.gps&amp;w=408&amp;h=240&amp;yaw=162.77945&amp;pitch=0&amp;thumbfov=100", "link")</f>
        <v>link</v>
      </c>
    </row>
    <row r="4396" spans="1:4" x14ac:dyDescent="0.45">
      <c r="A4396" t="s">
        <v>4398</v>
      </c>
      <c r="B4396">
        <v>34.2755290999999</v>
      </c>
      <c r="C4396">
        <v>-119.2894117</v>
      </c>
      <c r="D4396" t="s">
        <v>5</v>
      </c>
    </row>
    <row r="4397" spans="1:4" x14ac:dyDescent="0.45">
      <c r="A4397" t="s">
        <v>4399</v>
      </c>
      <c r="B4397">
        <v>34.285054299999999</v>
      </c>
      <c r="C4397">
        <v>-119.2958513</v>
      </c>
      <c r="D4397" t="str">
        <f>HYPERLINK("https://lh5.googleusercontent.com/p/AF1QipO_Aw4uCkCfpkBTQJq8bvd63vivp8szMRDAh7V_=w426-h240-k-no", "link")</f>
        <v>link</v>
      </c>
    </row>
    <row r="4398" spans="1:4" x14ac:dyDescent="0.45">
      <c r="A4398" t="s">
        <v>4400</v>
      </c>
      <c r="B4398">
        <v>34.282088799999997</v>
      </c>
      <c r="C4398">
        <v>-119.2991316</v>
      </c>
      <c r="D4398" t="str">
        <f>HYPERLINK("https://streetviewpixels-pa.googleapis.com/v1/thumbnail?panoid=S_g-QZRpuiiY4yrmyzR-Gw&amp;cb_client=search.gws-prod.gps&amp;w=408&amp;h=240&amp;yaw=187.0349&amp;pitch=0&amp;thumbfov=100", "link")</f>
        <v>link</v>
      </c>
    </row>
    <row r="4399" spans="1:4" x14ac:dyDescent="0.45">
      <c r="A4399" t="s">
        <v>4401</v>
      </c>
      <c r="B4399">
        <v>34.4486524</v>
      </c>
      <c r="C4399">
        <v>-119.2441908</v>
      </c>
      <c r="D4399" t="str">
        <f>HYPERLINK("https://streetviewpixels-pa.googleapis.com/v1/thumbnail?panoid=qFbsRo4pHg-4nzy0s8MSVw&amp;cb_client=search.gws-prod.gps&amp;w=408&amp;h=240&amp;yaw=174.60222&amp;pitch=0&amp;thumbfov=100", "link")</f>
        <v>link</v>
      </c>
    </row>
    <row r="4400" spans="1:4" x14ac:dyDescent="0.45">
      <c r="A4400" t="s">
        <v>4402</v>
      </c>
      <c r="B4400">
        <v>34.443931200000002</v>
      </c>
      <c r="C4400">
        <v>-119.2439495</v>
      </c>
      <c r="D4400" t="str">
        <f>HYPERLINK("https://lh5.googleusercontent.com/p/AF1QipM18KY9jk7d6Uwg6z56ULcOiskScV3BNjdnva04=w426-h240-k-no", "link")</f>
        <v>link</v>
      </c>
    </row>
    <row r="4401" spans="1:4" x14ac:dyDescent="0.45">
      <c r="A4401" t="s">
        <v>4403</v>
      </c>
      <c r="B4401">
        <v>34.444616000000003</v>
      </c>
      <c r="C4401">
        <v>-119.2475046</v>
      </c>
      <c r="D4401" t="str">
        <f>HYPERLINK("https://streetviewpixels-pa.googleapis.com/v1/thumbnail?panoid=8xIEuqkNQXmTObfmSrTCpg&amp;cb_client=search.gws-prod.gps&amp;w=408&amp;h=240&amp;yaw=270.62814&amp;pitch=0&amp;thumbfov=100", "link")</f>
        <v>link</v>
      </c>
    </row>
    <row r="4402" spans="1:4" x14ac:dyDescent="0.45">
      <c r="A4402" t="s">
        <v>4404</v>
      </c>
      <c r="B4402">
        <v>34.478658999999901</v>
      </c>
      <c r="C4402">
        <v>-119.29080329999999</v>
      </c>
      <c r="D4402" t="str">
        <f>HYPERLINK("https://lh5.googleusercontent.com/p/AF1QipPxsxpXUleVuqnxWhhbG7te8cOHRIC3b5p6QBPk=w408-h306-k-no", "link")</f>
        <v>link</v>
      </c>
    </row>
    <row r="4403" spans="1:4" x14ac:dyDescent="0.45">
      <c r="A4403" t="s">
        <v>4405</v>
      </c>
      <c r="B4403">
        <v>34.198834699999999</v>
      </c>
      <c r="C4403">
        <v>-119.1756585</v>
      </c>
      <c r="D4403" t="s">
        <v>5</v>
      </c>
    </row>
    <row r="4404" spans="1:4" x14ac:dyDescent="0.45">
      <c r="A4404" t="s">
        <v>4406</v>
      </c>
      <c r="B4404">
        <v>34.198362199999998</v>
      </c>
      <c r="C4404">
        <v>-119.1762528</v>
      </c>
      <c r="D4404" t="str">
        <f>HYPERLINK("https://streetviewpixels-pa.googleapis.com/v1/thumbnail?panoid=scdWB48_PgctrKZKTIZBRQ&amp;cb_client=search.gws-prod.gps&amp;w=408&amp;h=240&amp;yaw=197.70119&amp;pitch=0&amp;thumbfov=100", "link")</f>
        <v>link</v>
      </c>
    </row>
    <row r="4405" spans="1:4" x14ac:dyDescent="0.45">
      <c r="A4405" t="s">
        <v>4407</v>
      </c>
      <c r="B4405">
        <v>34.198365399999901</v>
      </c>
      <c r="C4405">
        <v>-119.1777805</v>
      </c>
      <c r="D4405" t="str">
        <f>HYPERLINK("https://streetviewpixels-pa.googleapis.com/v1/thumbnail?panoid=BRjO2qUs0hmsAGe3gI9svQ&amp;cb_client=search.gws-prod.gps&amp;w=408&amp;h=240&amp;yaw=267.73434&amp;pitch=0&amp;thumbfov=100", "link")</f>
        <v>link</v>
      </c>
    </row>
    <row r="4406" spans="1:4" x14ac:dyDescent="0.45">
      <c r="A4406" t="s">
        <v>4408</v>
      </c>
      <c r="B4406">
        <v>34.199681200000001</v>
      </c>
      <c r="C4406">
        <v>-119.1777027</v>
      </c>
      <c r="D4406" t="str">
        <f>HYPERLINK("https://streetviewpixels-pa.googleapis.com/v1/thumbnail?panoid=MYGMeFYU_Sho96cxrB3lvQ&amp;cb_client=search.gws-prod.gps&amp;w=408&amp;h=240&amp;yaw=277.89685&amp;pitch=0&amp;thumbfov=100", "link")</f>
        <v>link</v>
      </c>
    </row>
    <row r="4407" spans="1:4" x14ac:dyDescent="0.45">
      <c r="A4407" t="s">
        <v>4409</v>
      </c>
      <c r="B4407">
        <v>34.197032900000004</v>
      </c>
      <c r="C4407">
        <v>-119.1777307</v>
      </c>
      <c r="D4407" t="str">
        <f>HYPERLINK("https://streetviewpixels-pa.googleapis.com/v1/thumbnail?panoid=TInSHzYSjM7x9Js2FNEhtQ&amp;cb_client=search.gws-prod.gps&amp;w=408&amp;h=240&amp;yaw=272.7713&amp;pitch=0&amp;thumbfov=100", "link")</f>
        <v>link</v>
      </c>
    </row>
    <row r="4408" spans="1:4" x14ac:dyDescent="0.45">
      <c r="A4408" t="s">
        <v>4410</v>
      </c>
      <c r="B4408">
        <v>34.199705100000003</v>
      </c>
      <c r="C4408">
        <v>-119.17943</v>
      </c>
      <c r="D4408" t="str">
        <f>HYPERLINK("https://streetviewpixels-pa.googleapis.com/v1/thumbnail?panoid=UiZGJ0t7K_RRBBPoWuwtOQ&amp;cb_client=search.gws-prod.gps&amp;w=408&amp;h=240&amp;yaw=94.44299&amp;pitch=0&amp;thumbfov=100", "link")</f>
        <v>link</v>
      </c>
    </row>
    <row r="4409" spans="1:4" x14ac:dyDescent="0.45">
      <c r="A4409" t="s">
        <v>4411</v>
      </c>
      <c r="B4409">
        <v>34.200959400000002</v>
      </c>
      <c r="C4409">
        <v>-119.1789579</v>
      </c>
      <c r="D4409" t="str">
        <f>HYPERLINK("https://streetviewpixels-pa.googleapis.com/v1/thumbnail?panoid=PFWsfIeg0j9i0ko9pbJ81A&amp;cb_client=search.gws-prod.gps&amp;w=408&amp;h=240&amp;yaw=257.7552&amp;pitch=0&amp;thumbfov=100", "link")</f>
        <v>link</v>
      </c>
    </row>
    <row r="4410" spans="1:4" x14ac:dyDescent="0.45">
      <c r="A4410" t="s">
        <v>4412</v>
      </c>
      <c r="B4410">
        <v>34.1987703</v>
      </c>
      <c r="C4410">
        <v>-119.18000290000001</v>
      </c>
      <c r="D4410" t="str">
        <f>HYPERLINK("https://streetviewpixels-pa.googleapis.com/v1/thumbnail?panoid=tgDVxx_oBMdQEPngFdJSbQ&amp;cb_client=search.gws-prod.gps&amp;w=408&amp;h=240&amp;yaw=310.69174&amp;pitch=0&amp;thumbfov=100", "link")</f>
        <v>link</v>
      </c>
    </row>
    <row r="4411" spans="1:4" x14ac:dyDescent="0.45">
      <c r="A4411" t="s">
        <v>4413</v>
      </c>
      <c r="B4411">
        <v>34.196878300000002</v>
      </c>
      <c r="C4411">
        <v>-119.1794956</v>
      </c>
      <c r="D4411" t="str">
        <f>HYPERLINK("https://streetviewpixels-pa.googleapis.com/v1/thumbnail?panoid=-1QTeBNVH_VF3tVhgW3LlQ&amp;cb_client=search.gws-prod.gps&amp;w=408&amp;h=240&amp;yaw=102.79871&amp;pitch=0&amp;thumbfov=100", "link")</f>
        <v>link</v>
      </c>
    </row>
    <row r="4412" spans="1:4" x14ac:dyDescent="0.45">
      <c r="A4412" t="s">
        <v>4414</v>
      </c>
      <c r="B4412">
        <v>34.199773700000001</v>
      </c>
      <c r="C4412">
        <v>-119.18020869999999</v>
      </c>
      <c r="D4412" t="str">
        <f>HYPERLINK("https://streetviewpixels-pa.googleapis.com/v1/thumbnail?panoid=oWlzBKgWmw3tupnmWiOZMg&amp;cb_client=search.gws-prod.gps&amp;w=408&amp;h=240&amp;yaw=250.66551&amp;pitch=0&amp;thumbfov=100", "link")</f>
        <v>link</v>
      </c>
    </row>
    <row r="4413" spans="1:4" x14ac:dyDescent="0.45">
      <c r="A4413" t="s">
        <v>4415</v>
      </c>
      <c r="B4413">
        <v>34.198141100000001</v>
      </c>
      <c r="C4413">
        <v>-119.18046529999999</v>
      </c>
      <c r="D4413" t="str">
        <f>HYPERLINK("https://streetviewpixels-pa.googleapis.com/v1/thumbnail?panoid=ox0-jFOhHmqjo8n2PqVrIw&amp;cb_client=search.gws-prod.gps&amp;w=408&amp;h=240&amp;yaw=262.37827&amp;pitch=0&amp;thumbfov=100", "link")</f>
        <v>link</v>
      </c>
    </row>
    <row r="4414" spans="1:4" x14ac:dyDescent="0.45">
      <c r="A4414" t="s">
        <v>4416</v>
      </c>
      <c r="B4414">
        <v>34.194057700000002</v>
      </c>
      <c r="C4414">
        <v>-119.1646171</v>
      </c>
      <c r="D4414" t="str">
        <f>HYPERLINK("https://streetviewpixels-pa.googleapis.com/v1/thumbnail?panoid=GYw0CLmNPkxeQsG4N7glHQ&amp;cb_client=search.gws-prod.gps&amp;w=408&amp;h=240&amp;yaw=94.92035&amp;pitch=0&amp;thumbfov=100", "link")</f>
        <v>link</v>
      </c>
    </row>
    <row r="4415" spans="1:4" x14ac:dyDescent="0.45">
      <c r="A4415" t="s">
        <v>4417</v>
      </c>
      <c r="B4415">
        <v>34.1916291</v>
      </c>
      <c r="C4415">
        <v>-119.16076219999999</v>
      </c>
      <c r="D4415" t="s">
        <v>5</v>
      </c>
    </row>
    <row r="4416" spans="1:4" x14ac:dyDescent="0.45">
      <c r="A4416" t="s">
        <v>4418</v>
      </c>
      <c r="B4416">
        <v>34.208606899999999</v>
      </c>
      <c r="C4416">
        <v>-119.1931877</v>
      </c>
      <c r="D4416" t="str">
        <f>HYPERLINK("https://lh5.googleusercontent.com/p/AF1QipPYZcLs_iAwV33MM7OuYTtI_Vm5DZfRA-deXOM1=w408-h544-k-no", "link")</f>
        <v>link</v>
      </c>
    </row>
    <row r="4417" spans="1:4" x14ac:dyDescent="0.45">
      <c r="A4417" t="s">
        <v>4419</v>
      </c>
      <c r="B4417">
        <v>34.219278699999997</v>
      </c>
      <c r="C4417">
        <v>-119.1573226</v>
      </c>
      <c r="D4417" t="str">
        <f>HYPERLINK("https://lh5.googleusercontent.com/p/AF1QipN04_VSjfJuHOGVPVsWwmDn1g2T9c9IVIr1ZNBh=w408-h544-k-no", "link")</f>
        <v>link</v>
      </c>
    </row>
    <row r="4418" spans="1:4" x14ac:dyDescent="0.45">
      <c r="A4418" t="s">
        <v>4420</v>
      </c>
      <c r="B4418">
        <v>34.220476900000001</v>
      </c>
      <c r="C4418">
        <v>-119.155732</v>
      </c>
      <c r="D4418" t="str">
        <f>HYPERLINK("https://lh5.googleusercontent.com/p/AF1QipPtu_-DytXPPl3HZf_Ts6jfjEqXyM10gk5x2c65=w408-h306-k-no", "link")</f>
        <v>link</v>
      </c>
    </row>
    <row r="4419" spans="1:4" x14ac:dyDescent="0.45">
      <c r="A4419" t="s">
        <v>4421</v>
      </c>
      <c r="B4419">
        <v>34.229901599999998</v>
      </c>
      <c r="C4419">
        <v>-119.1735616</v>
      </c>
      <c r="D4419" t="str">
        <f>HYPERLINK("https://streetviewpixels-pa.googleapis.com/v1/thumbnail?panoid=FqihZPYCt8WCAnscUI4PVA&amp;cb_client=search.gws-prod.gps&amp;w=408&amp;h=240&amp;yaw=93.7147&amp;pitch=0&amp;thumbfov=100", "link")</f>
        <v>link</v>
      </c>
    </row>
    <row r="4420" spans="1:4" x14ac:dyDescent="0.45">
      <c r="A4420" t="s">
        <v>4422</v>
      </c>
      <c r="B4420">
        <v>34.228457200000001</v>
      </c>
      <c r="C4420">
        <v>-119.1708854</v>
      </c>
      <c r="D4420" t="str">
        <f>HYPERLINK("https://streetviewpixels-pa.googleapis.com/v1/thumbnail?panoid=8v7PxtEJ2ucZoBlzZX7FYA&amp;cb_client=search.gws-prod.gps&amp;w=408&amp;h=240&amp;yaw=332.61472&amp;pitch=0&amp;thumbfov=100", "link")</f>
        <v>link</v>
      </c>
    </row>
    <row r="4421" spans="1:4" x14ac:dyDescent="0.45">
      <c r="A4421" t="s">
        <v>4423</v>
      </c>
      <c r="B4421">
        <v>34.233468999999999</v>
      </c>
      <c r="C4421">
        <v>-119.176385</v>
      </c>
      <c r="D4421" t="str">
        <f>HYPERLINK("https://lh5.googleusercontent.com/p/AF1QipP_vH9XEDvOvEqqrb2BRQTVlH54rq6IlX-gNzKb=w408-h544-k-no", "link")</f>
        <v>link</v>
      </c>
    </row>
    <row r="4422" spans="1:4" x14ac:dyDescent="0.45">
      <c r="A4422" t="s">
        <v>4424</v>
      </c>
      <c r="B4422">
        <v>34.234060800000002</v>
      </c>
      <c r="C4422">
        <v>-119.17688459999999</v>
      </c>
      <c r="D4422" t="str">
        <f>HYPERLINK("https://lh5.googleusercontent.com/p/AF1QipOtdu9UqcBVj7S_a4bETu98NS6F-ZaBrEovMWQf=w408-h544-k-no", "link")</f>
        <v>link</v>
      </c>
    </row>
    <row r="4423" spans="1:4" x14ac:dyDescent="0.45">
      <c r="A4423" t="s">
        <v>4425</v>
      </c>
      <c r="B4423">
        <v>34.235624999999999</v>
      </c>
      <c r="C4423">
        <v>-119.178388</v>
      </c>
      <c r="D4423" t="str">
        <f>HYPERLINK("https://lh5.googleusercontent.com/p/AF1QipP5bWaxR3wB0oEWOR2iTBgzMOdZOIQ-wZMxq1Ut=w408-h544-k-no", "link")</f>
        <v>link</v>
      </c>
    </row>
    <row r="4424" spans="1:4" x14ac:dyDescent="0.45">
      <c r="A4424" t="s">
        <v>4426</v>
      </c>
      <c r="B4424">
        <v>34.236332599999997</v>
      </c>
      <c r="C4424">
        <v>-119.17895830000001</v>
      </c>
      <c r="D4424" t="str">
        <f>HYPERLINK("https://lh5.googleusercontent.com/p/AF1QipOPG7Y4xTjl9lXOcRYo3bV0G6B-Z-TuQDkobmKH=w408-h306-k-no", "link")</f>
        <v>link</v>
      </c>
    </row>
    <row r="4425" spans="1:4" x14ac:dyDescent="0.45">
      <c r="A4425" t="s">
        <v>4427</v>
      </c>
      <c r="B4425">
        <v>34.238893999999902</v>
      </c>
      <c r="C4425">
        <v>-119.175178</v>
      </c>
      <c r="D4425" t="str">
        <f>HYPERLINK("https://streetviewpixels-pa.googleapis.com/v1/thumbnail?panoid=1jElFkPTJcMJ63jE2V7GKQ&amp;cb_client=search.gws-prod.gps&amp;w=408&amp;h=240&amp;yaw=130.69849&amp;pitch=0&amp;thumbfov=100", "link")</f>
        <v>link</v>
      </c>
    </row>
    <row r="4426" spans="1:4" x14ac:dyDescent="0.45">
      <c r="A4426" t="s">
        <v>4428</v>
      </c>
      <c r="B4426">
        <v>34.237347100000001</v>
      </c>
      <c r="C4426">
        <v>-119.18016729999999</v>
      </c>
      <c r="D4426" t="str">
        <f>HYPERLINK("https://lh5.googleusercontent.com/p/AF1QipP6hZCIsf-vgVMQz9LB8iLgR_2Tz1JNJSJ3dOB7=w408-h419-k-no", "link")</f>
        <v>link</v>
      </c>
    </row>
    <row r="4427" spans="1:4" x14ac:dyDescent="0.45">
      <c r="A4427" t="s">
        <v>4429</v>
      </c>
      <c r="B4427">
        <v>34.240588099999997</v>
      </c>
      <c r="C4427">
        <v>-119.17905380000001</v>
      </c>
      <c r="D4427" t="str">
        <f>HYPERLINK("https://lh5.googleusercontent.com/p/AF1QipPQodexkA78re426ImwwzZCL_62q3wlsiqU0Odo=w408-h305-k-no", "link")</f>
        <v>link</v>
      </c>
    </row>
    <row r="4428" spans="1:4" x14ac:dyDescent="0.45">
      <c r="A4428" t="s">
        <v>4430</v>
      </c>
      <c r="B4428">
        <v>34.223571399999898</v>
      </c>
      <c r="C4428">
        <v>-119.16126269999999</v>
      </c>
      <c r="D4428" t="str">
        <f>HYPERLINK("https://lh5.googleusercontent.com/p/AF1QipM32Yb-aQOqRJtg7UbJ1Sh7iBUOJ5IFYP4YALze=w408-h306-k-no", "link")</f>
        <v>link</v>
      </c>
    </row>
    <row r="4429" spans="1:4" x14ac:dyDescent="0.45">
      <c r="A4429" t="s">
        <v>4431</v>
      </c>
      <c r="B4429">
        <v>34.241368899999998</v>
      </c>
      <c r="C4429">
        <v>-119.17781359999999</v>
      </c>
      <c r="D4429" t="str">
        <f>HYPERLINK("https://lh5.googleusercontent.com/p/AF1QipPQwCetkMrtPMBRchWKa2adZ-gexXnML0GK9ZKN=w408-h306-k-no", "link")</f>
        <v>link</v>
      </c>
    </row>
    <row r="4430" spans="1:4" x14ac:dyDescent="0.45">
      <c r="A4430" t="s">
        <v>4432</v>
      </c>
      <c r="B4430">
        <v>34.222872199999998</v>
      </c>
      <c r="C4430">
        <v>-119.16134959999999</v>
      </c>
      <c r="D4430" t="str">
        <f>HYPERLINK("https://lh5.googleusercontent.com/p/AF1QipNHGcCWUmTnhE_U153MkYz2_KfLwqG-jDf24hKL=w408-h306-k-no", "link")</f>
        <v>link</v>
      </c>
    </row>
    <row r="4431" spans="1:4" x14ac:dyDescent="0.45">
      <c r="A4431" t="s">
        <v>4433</v>
      </c>
      <c r="B4431">
        <v>34.241955299999901</v>
      </c>
      <c r="C4431">
        <v>-119.1772132</v>
      </c>
      <c r="D4431" t="str">
        <f>HYPERLINK("https://lh5.googleusercontent.com/p/AF1QipP8LgpHqpuRA7-M8yIX7bDpYc7yzKtvq6zROOuG=w408-h305-k-no", "link")</f>
        <v>link</v>
      </c>
    </row>
    <row r="4432" spans="1:4" x14ac:dyDescent="0.45">
      <c r="A4432" t="s">
        <v>4434</v>
      </c>
      <c r="B4432">
        <v>34.224122999999999</v>
      </c>
      <c r="C4432">
        <v>-119.1600554</v>
      </c>
      <c r="D4432" t="str">
        <f>HYPERLINK("https://lh5.googleusercontent.com/p/AF1QipN_kdI7TcH688bY2Y7gxOB-oufKzdDzN59vJSzy=w408-h306-k-no", "link")</f>
        <v>link</v>
      </c>
    </row>
    <row r="4433" spans="1:4" x14ac:dyDescent="0.45">
      <c r="A4433" t="s">
        <v>4435</v>
      </c>
      <c r="B4433">
        <v>34.221256799999999</v>
      </c>
      <c r="C4433">
        <v>-119.1611692</v>
      </c>
      <c r="D4433" t="str">
        <f>HYPERLINK("https://lh5.googleusercontent.com/p/AF1QipNrhHq4fpNYOl5jtppD1lkTBxoKw3ukE4kr4nhv=w408-h306-k-no", "link")</f>
        <v>link</v>
      </c>
    </row>
    <row r="4434" spans="1:4" x14ac:dyDescent="0.45">
      <c r="A4434" t="s">
        <v>4436</v>
      </c>
      <c r="B4434">
        <v>34.220989299999999</v>
      </c>
      <c r="C4434">
        <v>-119.1577152</v>
      </c>
      <c r="D4434" t="str">
        <f>HYPERLINK("https://streetviewpixels-pa.googleapis.com/v1/thumbnail?panoid=Nh4xblwITB_ZWydImEhckQ&amp;cb_client=search.gws-prod.gps&amp;w=408&amp;h=240&amp;yaw=12.493043&amp;pitch=0&amp;thumbfov=100", "link")</f>
        <v>link</v>
      </c>
    </row>
    <row r="4435" spans="1:4" x14ac:dyDescent="0.45">
      <c r="A4435" t="s">
        <v>4437</v>
      </c>
      <c r="B4435">
        <v>34.218623100000002</v>
      </c>
      <c r="C4435">
        <v>-119.1593711</v>
      </c>
      <c r="D4435" t="str">
        <f>HYPERLINK("https://lh5.googleusercontent.com/p/AF1QipMzougmGacScAnIOkTXvg7-3SfWQQkPRSN2hpX-=w408-h306-k-no", "link")</f>
        <v>link</v>
      </c>
    </row>
    <row r="4436" spans="1:4" x14ac:dyDescent="0.45">
      <c r="A4436" t="s">
        <v>4438</v>
      </c>
      <c r="B4436">
        <v>34.2205698</v>
      </c>
      <c r="C4436">
        <v>-119.1573645</v>
      </c>
      <c r="D4436" t="str">
        <f>HYPERLINK("https://lh5.googleusercontent.com/p/AF1QipMNU6O5ZpdqBo2fsTiUrm_5AMau1O4UcRxbAUDT=w408-h544-k-no", "link")</f>
        <v>link</v>
      </c>
    </row>
    <row r="4437" spans="1:4" x14ac:dyDescent="0.45">
      <c r="A4437" t="s">
        <v>4439</v>
      </c>
      <c r="B4437">
        <v>34.219786599999999</v>
      </c>
      <c r="C4437">
        <v>-119.15728</v>
      </c>
      <c r="D4437" t="str">
        <f>HYPERLINK("https://lh5.googleusercontent.com/p/AF1QipPaZunyq-vVDIhMU_-UdfCd0QSLrZqNBzcXVKOQ=w408-h306-k-no", "link")</f>
        <v>link</v>
      </c>
    </row>
    <row r="4438" spans="1:4" x14ac:dyDescent="0.45">
      <c r="A4438" t="s">
        <v>4440</v>
      </c>
      <c r="B4438">
        <v>34.162566699999999</v>
      </c>
      <c r="C4438">
        <v>-119.1576898</v>
      </c>
      <c r="D4438" t="s">
        <v>5</v>
      </c>
    </row>
    <row r="4439" spans="1:4" x14ac:dyDescent="0.45">
      <c r="A4439" t="s">
        <v>4441</v>
      </c>
      <c r="B4439">
        <v>34.166430099999999</v>
      </c>
      <c r="C4439">
        <v>-119.1575081</v>
      </c>
      <c r="D4439" t="s">
        <v>5</v>
      </c>
    </row>
    <row r="4440" spans="1:4" x14ac:dyDescent="0.45">
      <c r="A4440" t="s">
        <v>4442</v>
      </c>
      <c r="B4440">
        <v>34.162533799999999</v>
      </c>
      <c r="C4440">
        <v>-119.1565693</v>
      </c>
      <c r="D4440" t="s">
        <v>5</v>
      </c>
    </row>
    <row r="4441" spans="1:4" x14ac:dyDescent="0.45">
      <c r="A4441" t="s">
        <v>4443</v>
      </c>
      <c r="B4441">
        <v>34.165566200000001</v>
      </c>
      <c r="C4441">
        <v>-119.15601340000001</v>
      </c>
      <c r="D4441" t="s">
        <v>5</v>
      </c>
    </row>
    <row r="4442" spans="1:4" x14ac:dyDescent="0.45">
      <c r="A4442" t="s">
        <v>4444</v>
      </c>
      <c r="B4442">
        <v>34.165306600000001</v>
      </c>
      <c r="C4442">
        <v>-119.1555548</v>
      </c>
      <c r="D4442" t="s">
        <v>5</v>
      </c>
    </row>
    <row r="4443" spans="1:4" x14ac:dyDescent="0.45">
      <c r="A4443" t="s">
        <v>4445</v>
      </c>
      <c r="B4443">
        <v>34.163974099999997</v>
      </c>
      <c r="C4443">
        <v>-119.1553277</v>
      </c>
      <c r="D4443" t="str">
        <f>HYPERLINK("https://lh5.googleusercontent.com/p/AF1QipNnM9HQZBWmYt6nxdk573nWAi-oBwsf6G9C0_x8=w408-h839-k-no", "link")</f>
        <v>link</v>
      </c>
    </row>
    <row r="4444" spans="1:4" x14ac:dyDescent="0.45">
      <c r="A4444" t="s">
        <v>4446</v>
      </c>
      <c r="B4444">
        <v>34.164339200000001</v>
      </c>
      <c r="C4444">
        <v>-119.155146</v>
      </c>
      <c r="D4444" t="s">
        <v>5</v>
      </c>
    </row>
    <row r="4445" spans="1:4" x14ac:dyDescent="0.45">
      <c r="A4445" t="s">
        <v>4447</v>
      </c>
      <c r="B4445">
        <v>34.209960799999998</v>
      </c>
      <c r="C4445">
        <v>-119.1936776</v>
      </c>
      <c r="D4445" t="str">
        <f>HYPERLINK("https://lh5.googleusercontent.com/p/AF1QipO-4oUGF_7F1dThmvIsP2MxJDR6lwwCezkztUu9=w408-h306-k-no", "link")</f>
        <v>link</v>
      </c>
    </row>
    <row r="4446" spans="1:4" x14ac:dyDescent="0.45">
      <c r="A4446" t="s">
        <v>4448</v>
      </c>
      <c r="B4446">
        <v>34.157453199999999</v>
      </c>
      <c r="C4446">
        <v>-119.2244142</v>
      </c>
      <c r="D4446" t="str">
        <f>HYPERLINK("https://lh5.googleusercontent.com/p/AF1QipNLda3wA3YfZtNZIBuvS5KFxQ3KgCCQY_RtnvJx=w408-h306-k-no", "link")</f>
        <v>link</v>
      </c>
    </row>
    <row r="4447" spans="1:4" x14ac:dyDescent="0.45">
      <c r="A4447" t="s">
        <v>4449</v>
      </c>
      <c r="B4447">
        <v>34.163340099999999</v>
      </c>
      <c r="C4447">
        <v>-119.22684959999999</v>
      </c>
      <c r="D4447" t="str">
        <f>HYPERLINK("https://streetviewpixels-pa.googleapis.com/v1/thumbnail?panoid=PU6DuMSakVxs11qAcu-jKg&amp;cb_client=search.gws-prod.gps&amp;w=408&amp;h=240&amp;yaw=47.752796&amp;pitch=0&amp;thumbfov=100", "link")</f>
        <v>link</v>
      </c>
    </row>
    <row r="4448" spans="1:4" x14ac:dyDescent="0.45">
      <c r="A4448" t="s">
        <v>4450</v>
      </c>
      <c r="B4448">
        <v>34.164515299999998</v>
      </c>
      <c r="C4448">
        <v>-119.2273941</v>
      </c>
      <c r="D4448" t="str">
        <f>HYPERLINK("https://streetviewpixels-pa.googleapis.com/v1/thumbnail?panoid=FfKNVfk7nxGvkYdAMzdfrA&amp;cb_client=search.gws-prod.gps&amp;w=408&amp;h=240&amp;yaw=37.072685&amp;pitch=0&amp;thumbfov=100", "link")</f>
        <v>link</v>
      </c>
    </row>
    <row r="4449" spans="1:4" x14ac:dyDescent="0.45">
      <c r="A4449" t="s">
        <v>4451</v>
      </c>
      <c r="B4449">
        <v>34.165510699999999</v>
      </c>
      <c r="C4449">
        <v>-119.2281022</v>
      </c>
      <c r="D4449" t="str">
        <f>HYPERLINK("https://streetviewpixels-pa.googleapis.com/v1/thumbnail?panoid=BCCF_YDAwDo23U9lmxj9Jg&amp;cb_client=search.gws-prod.gps&amp;w=408&amp;h=240&amp;yaw=37.497818&amp;pitch=0&amp;thumbfov=100", "link")</f>
        <v>link</v>
      </c>
    </row>
    <row r="4450" spans="1:4" x14ac:dyDescent="0.45">
      <c r="A4450" t="s">
        <v>4452</v>
      </c>
      <c r="B4450">
        <v>34.166970900000003</v>
      </c>
      <c r="C4450">
        <v>-119.228762</v>
      </c>
      <c r="D4450" t="str">
        <f>HYPERLINK("https://streetviewpixels-pa.googleapis.com/v1/thumbnail?panoid=kkaFnYlRxLbPqCf4hv-tsA&amp;cb_client=search.gws-prod.gps&amp;w=408&amp;h=240&amp;yaw=52.064465&amp;pitch=0&amp;thumbfov=100", "link")</f>
        <v>link</v>
      </c>
    </row>
    <row r="4451" spans="1:4" x14ac:dyDescent="0.45">
      <c r="A4451" t="s">
        <v>4453</v>
      </c>
      <c r="B4451">
        <v>34.168202600000001</v>
      </c>
      <c r="C4451">
        <v>-119.22920190000001</v>
      </c>
      <c r="D4451" t="str">
        <f>HYPERLINK("https://streetviewpixels-pa.googleapis.com/v1/thumbnail?panoid=C5DgTSGncwEcqsCULJr-Gw&amp;cb_client=search.gws-prod.gps&amp;w=408&amp;h=240&amp;yaw=216.57869&amp;pitch=0&amp;thumbfov=100", "link")</f>
        <v>link</v>
      </c>
    </row>
    <row r="4452" spans="1:4" x14ac:dyDescent="0.45">
      <c r="A4452" t="s">
        <v>4454</v>
      </c>
      <c r="B4452">
        <v>34.157868000000001</v>
      </c>
      <c r="C4452">
        <v>-119.20860500000001</v>
      </c>
      <c r="D4452" t="s">
        <v>5</v>
      </c>
    </row>
    <row r="4453" spans="1:4" x14ac:dyDescent="0.45">
      <c r="A4453" t="s">
        <v>4455</v>
      </c>
      <c r="B4453">
        <v>34.170346000000002</v>
      </c>
      <c r="C4453">
        <v>-119.2299817</v>
      </c>
      <c r="D4453" t="s">
        <v>5</v>
      </c>
    </row>
    <row r="4454" spans="1:4" x14ac:dyDescent="0.45">
      <c r="A4454" t="s">
        <v>4456</v>
      </c>
      <c r="B4454">
        <v>34.176480099999999</v>
      </c>
      <c r="C4454">
        <v>-119.2165177</v>
      </c>
      <c r="D4454" t="str">
        <f>HYPERLINK("https://streetviewpixels-pa.googleapis.com/v1/thumbnail?panoid=FHgVGoeKVvjhBFXDqpYp-g&amp;cb_client=search.gws-prod.gps&amp;w=408&amp;h=240&amp;yaw=6.430791&amp;pitch=0&amp;thumbfov=100", "link")</f>
        <v>link</v>
      </c>
    </row>
    <row r="4455" spans="1:4" x14ac:dyDescent="0.45">
      <c r="A4455" t="s">
        <v>4457</v>
      </c>
      <c r="B4455">
        <v>34.168222999999998</v>
      </c>
      <c r="C4455">
        <v>-119.203841</v>
      </c>
      <c r="D4455" t="s">
        <v>5</v>
      </c>
    </row>
    <row r="4456" spans="1:4" x14ac:dyDescent="0.45">
      <c r="A4456" t="s">
        <v>4458</v>
      </c>
      <c r="B4456">
        <v>34.176610699999998</v>
      </c>
      <c r="C4456">
        <v>-119.235529</v>
      </c>
      <c r="D4456" t="s">
        <v>5</v>
      </c>
    </row>
    <row r="4457" spans="1:4" x14ac:dyDescent="0.45">
      <c r="A4457" t="s">
        <v>4459</v>
      </c>
      <c r="B4457">
        <v>34.178648699999997</v>
      </c>
      <c r="C4457">
        <v>-119.23548359999999</v>
      </c>
      <c r="D4457" t="str">
        <f>HYPERLINK("https://streetviewpixels-pa.googleapis.com/v1/thumbnail?panoid=_qOxZau_2oTFCU4k7rAypw&amp;cb_client=search.gws-prod.gps&amp;w=408&amp;h=240&amp;yaw=237.37007&amp;pitch=0&amp;thumbfov=100", "link")</f>
        <v>link</v>
      </c>
    </row>
    <row r="4458" spans="1:4" x14ac:dyDescent="0.45">
      <c r="A4458" t="s">
        <v>4460</v>
      </c>
      <c r="B4458">
        <v>34.178826899999997</v>
      </c>
      <c r="C4458">
        <v>-119.2352566</v>
      </c>
      <c r="D4458" t="s">
        <v>5</v>
      </c>
    </row>
    <row r="4459" spans="1:4" x14ac:dyDescent="0.45">
      <c r="A4459" t="s">
        <v>4461</v>
      </c>
      <c r="B4459">
        <v>34.181930100000002</v>
      </c>
      <c r="C4459">
        <v>-119.2354457</v>
      </c>
      <c r="D4459" t="str">
        <f>HYPERLINK("https://lh5.googleusercontent.com/p/AF1QipMkw1VI8CEEBp5ELWNnwpmoOk2_wibeQec28-TY=w480-h240-k-no", "link")</f>
        <v>link</v>
      </c>
    </row>
    <row r="4460" spans="1:4" x14ac:dyDescent="0.45">
      <c r="A4460" t="s">
        <v>4462</v>
      </c>
      <c r="B4460">
        <v>34.183563999999997</v>
      </c>
      <c r="C4460">
        <v>-119.235983</v>
      </c>
      <c r="D4460" t="s">
        <v>5</v>
      </c>
    </row>
    <row r="4461" spans="1:4" x14ac:dyDescent="0.45">
      <c r="A4461" t="s">
        <v>4463</v>
      </c>
      <c r="B4461">
        <v>34.197910800000002</v>
      </c>
      <c r="C4461">
        <v>-119.2069959</v>
      </c>
      <c r="D4461" t="str">
        <f>HYPERLINK("https://streetviewpixels-pa.googleapis.com/v1/thumbnail?panoid=lcO4s_E-s2WR6lCNMY9ekA&amp;cb_client=search.gws-prod.gps&amp;w=408&amp;h=240&amp;yaw=9.884308&amp;pitch=0&amp;thumbfov=100", "link")</f>
        <v>link</v>
      </c>
    </row>
    <row r="4462" spans="1:4" x14ac:dyDescent="0.45">
      <c r="A4462" t="s">
        <v>4464</v>
      </c>
      <c r="B4462">
        <v>34.200187499999998</v>
      </c>
      <c r="C4462">
        <v>-119.1520553</v>
      </c>
      <c r="D4462" t="str">
        <f>HYPERLINK("https://streetviewpixels-pa.googleapis.com/v1/thumbnail?panoid=jLqDG0rzyUMqLoivHmlPsg&amp;cb_client=search.gws-prod.gps&amp;w=408&amp;h=240&amp;yaw=108.33328&amp;pitch=0&amp;thumbfov=100", "link")</f>
        <v>link</v>
      </c>
    </row>
    <row r="4463" spans="1:4" x14ac:dyDescent="0.45">
      <c r="A4463" t="s">
        <v>4465</v>
      </c>
      <c r="B4463">
        <v>34.352791799999999</v>
      </c>
      <c r="C4463">
        <v>-119.0604123</v>
      </c>
      <c r="D4463" t="str">
        <f>HYPERLINK("https://lh5.googleusercontent.com/p/AF1QipNi6b_XtEyII4anc1ylh6pHzQxkrRpvfGIRnaEv=w408-h306-k-no", "link")</f>
        <v>link</v>
      </c>
    </row>
    <row r="4464" spans="1:4" x14ac:dyDescent="0.45">
      <c r="A4464" t="s">
        <v>4466</v>
      </c>
      <c r="B4464">
        <v>34.351548800000003</v>
      </c>
      <c r="C4464">
        <v>-119.0598347</v>
      </c>
      <c r="D4464" t="s">
        <v>5</v>
      </c>
    </row>
    <row r="4465" spans="1:4" x14ac:dyDescent="0.45">
      <c r="A4465" t="s">
        <v>4467</v>
      </c>
      <c r="B4465">
        <v>34.364757699999998</v>
      </c>
      <c r="C4465">
        <v>-119.0414133</v>
      </c>
      <c r="D4465" t="str">
        <f>HYPERLINK("https://lh5.googleusercontent.com/p/AF1QipONhKDNNpwaYkBMCR1FmD6Ovv5_qB3-snkCfKnx=w408-h306-k-no", "link")</f>
        <v>link</v>
      </c>
    </row>
    <row r="4466" spans="1:4" x14ac:dyDescent="0.45">
      <c r="A4466" t="s">
        <v>4468</v>
      </c>
      <c r="B4466">
        <v>34.4262169</v>
      </c>
      <c r="C4466">
        <v>-119.0894021</v>
      </c>
      <c r="D4466" t="s">
        <v>5</v>
      </c>
    </row>
    <row r="4467" spans="1:4" x14ac:dyDescent="0.45">
      <c r="A4467" t="s">
        <v>4469</v>
      </c>
      <c r="B4467">
        <v>34.426203700000002</v>
      </c>
      <c r="C4467">
        <v>-119.08930890000001</v>
      </c>
      <c r="D4467" t="s">
        <v>5</v>
      </c>
    </row>
    <row r="4468" spans="1:4" x14ac:dyDescent="0.45">
      <c r="A4468" t="s">
        <v>4470</v>
      </c>
      <c r="B4468">
        <v>34.273495599999997</v>
      </c>
      <c r="C4468">
        <v>-118.6969308</v>
      </c>
      <c r="D4468" t="s">
        <v>5</v>
      </c>
    </row>
    <row r="4469" spans="1:4" x14ac:dyDescent="0.45">
      <c r="A4469" t="s">
        <v>4471</v>
      </c>
      <c r="B4469">
        <v>34.270927399999898</v>
      </c>
      <c r="C4469">
        <v>-118.6955243</v>
      </c>
      <c r="D4469" t="str">
        <f>HYPERLINK("https://streetviewpixels-pa.googleapis.com/v1/thumbnail?panoid=nw8DUi54J7psiDowXG1RjA&amp;cb_client=search.gws-prod.gps&amp;w=408&amp;h=240&amp;yaw=125.07713&amp;pitch=0&amp;thumbfov=100", "link")</f>
        <v>link</v>
      </c>
    </row>
    <row r="4470" spans="1:4" x14ac:dyDescent="0.45">
      <c r="A4470" t="s">
        <v>4472</v>
      </c>
      <c r="B4470">
        <v>34.280425399999999</v>
      </c>
      <c r="C4470">
        <v>-118.69078949999999</v>
      </c>
      <c r="D4470" t="str">
        <f>HYPERLINK("https://streetviewpixels-pa.googleapis.com/v1/thumbnail?panoid=5aQx3tVqyk4hLF6QB5NoQg&amp;cb_client=search.gws-prod.gps&amp;w=408&amp;h=240&amp;yaw=350.49576&amp;pitch=0&amp;thumbfov=100", "link")</f>
        <v>link</v>
      </c>
    </row>
    <row r="4471" spans="1:4" x14ac:dyDescent="0.45">
      <c r="A4471" t="s">
        <v>4473</v>
      </c>
      <c r="B4471">
        <v>34.277722500000003</v>
      </c>
      <c r="C4471">
        <v>-118.71063650000001</v>
      </c>
      <c r="D4471" t="str">
        <f>HYPERLINK("https://streetviewpixels-pa.googleapis.com/v1/thumbnail?panoid=okcvq04fxgZ6qR63HuJj1w&amp;cb_client=search.gws-prod.gps&amp;w=408&amp;h=240&amp;yaw=264.79724&amp;pitch=0&amp;thumbfov=100", "link")</f>
        <v>link</v>
      </c>
    </row>
    <row r="4472" spans="1:4" x14ac:dyDescent="0.45">
      <c r="A4472" t="s">
        <v>4474</v>
      </c>
      <c r="B4472">
        <v>34.275563300000002</v>
      </c>
      <c r="C4472">
        <v>-119.2285492</v>
      </c>
      <c r="D4472" t="str">
        <f>HYPERLINK("https://streetviewpixels-pa.googleapis.com/v1/thumbnail?panoid=iyZPniTc9OhfV6YBEQ_fwA&amp;cb_client=search.gws-prod.gps&amp;w=408&amp;h=240&amp;yaw=127.54001&amp;pitch=0&amp;thumbfov=100", "link")</f>
        <v>link</v>
      </c>
    </row>
    <row r="4473" spans="1:4" x14ac:dyDescent="0.45">
      <c r="A4473" t="s">
        <v>4475</v>
      </c>
      <c r="B4473">
        <v>34.2771981</v>
      </c>
      <c r="C4473">
        <v>-119.22819269999999</v>
      </c>
      <c r="D4473" t="s">
        <v>5</v>
      </c>
    </row>
    <row r="4474" spans="1:4" x14ac:dyDescent="0.45">
      <c r="A4474" t="s">
        <v>4476</v>
      </c>
      <c r="B4474">
        <v>34.279223799999997</v>
      </c>
      <c r="C4474">
        <v>-119.22543</v>
      </c>
      <c r="D4474" t="s">
        <v>5</v>
      </c>
    </row>
    <row r="4475" spans="1:4" x14ac:dyDescent="0.45">
      <c r="A4475" t="s">
        <v>4477</v>
      </c>
      <c r="B4475">
        <v>34.250515900000003</v>
      </c>
      <c r="C4475">
        <v>-119.2048867</v>
      </c>
      <c r="D4475" t="str">
        <f>HYPERLINK("https://streetviewpixels-pa.googleapis.com/v1/thumbnail?panoid=GN6Zw4kcxCs5dnnPSyWQCg&amp;cb_client=search.gws-prod.gps&amp;w=408&amp;h=240&amp;yaw=120.63409&amp;pitch=0&amp;thumbfov=100", "link")</f>
        <v>link</v>
      </c>
    </row>
    <row r="4476" spans="1:4" x14ac:dyDescent="0.45">
      <c r="A4476" t="s">
        <v>4478</v>
      </c>
      <c r="B4476">
        <v>34.273847600000003</v>
      </c>
      <c r="C4476">
        <v>-119.2168356</v>
      </c>
      <c r="D4476" t="str">
        <f>HYPERLINK("https://streetviewpixels-pa.googleapis.com/v1/thumbnail?panoid=-pu3YMhBDNO5fxb_vRKTwA&amp;cb_client=search.gws-prod.gps&amp;w=408&amp;h=240&amp;yaw=80.33052&amp;pitch=0&amp;thumbfov=100", "link")</f>
        <v>link</v>
      </c>
    </row>
    <row r="4477" spans="1:4" x14ac:dyDescent="0.45">
      <c r="A4477" t="s">
        <v>4479</v>
      </c>
      <c r="B4477">
        <v>34.2651933</v>
      </c>
      <c r="C4477">
        <v>-119.2067414</v>
      </c>
      <c r="D4477" t="s">
        <v>5</v>
      </c>
    </row>
    <row r="4478" spans="1:4" x14ac:dyDescent="0.45">
      <c r="A4478" t="s">
        <v>4480</v>
      </c>
      <c r="B4478">
        <v>33.555627800000003</v>
      </c>
      <c r="C4478">
        <v>-117.665302</v>
      </c>
      <c r="D4478" t="str">
        <f>HYPERLINK("https://lh5.googleusercontent.com/p/AF1QipMHQe5MmRUb_cvlZj3ZWW5aZP980FXKCz0nv0WH=w408-h408-k-no", "link")</f>
        <v>link</v>
      </c>
    </row>
    <row r="4479" spans="1:4" x14ac:dyDescent="0.45">
      <c r="A4479" t="s">
        <v>4481</v>
      </c>
      <c r="B4479">
        <v>33.5578346</v>
      </c>
      <c r="C4479">
        <v>-117.7749019</v>
      </c>
      <c r="D4479" t="s">
        <v>5</v>
      </c>
    </row>
    <row r="4480" spans="1:4" x14ac:dyDescent="0.45">
      <c r="A4480" t="s">
        <v>4482</v>
      </c>
      <c r="B4480">
        <v>33.562066600000001</v>
      </c>
      <c r="C4480">
        <v>-117.6659222</v>
      </c>
      <c r="D4480" t="str">
        <f>HYPERLINK("https://streetviewpixels-pa.googleapis.com/v1/thumbnail?panoid=lWHtDn5c-ZYrjmxstUAUKQ&amp;cb_client=search.gws-prod.gps&amp;w=408&amp;h=240&amp;yaw=90.754585&amp;pitch=0&amp;thumbfov=100", "link")</f>
        <v>link</v>
      </c>
    </row>
    <row r="4481" spans="1:4" x14ac:dyDescent="0.45">
      <c r="A4481" t="s">
        <v>4483</v>
      </c>
      <c r="B4481">
        <v>33.552516400000002</v>
      </c>
      <c r="C4481">
        <v>-117.66447700000001</v>
      </c>
      <c r="D4481" t="s">
        <v>5</v>
      </c>
    </row>
    <row r="4482" spans="1:4" x14ac:dyDescent="0.45">
      <c r="A4482" t="s">
        <v>4484</v>
      </c>
      <c r="B4482">
        <v>33.554031899999998</v>
      </c>
      <c r="C4482">
        <v>-117.6641121</v>
      </c>
      <c r="D4482" t="str">
        <f>HYPERLINK("https://streetviewpixels-pa.googleapis.com/v1/thumbnail?panoid=5sOMLpp8q664UphHEE_pfA&amp;cb_client=search.gws-prod.gps&amp;w=408&amp;h=240&amp;yaw=170.61131&amp;pitch=0&amp;thumbfov=100", "link")</f>
        <v>link</v>
      </c>
    </row>
    <row r="4483" spans="1:4" x14ac:dyDescent="0.45">
      <c r="A4483" t="s">
        <v>4485</v>
      </c>
      <c r="B4483">
        <v>33.5605391</v>
      </c>
      <c r="C4483">
        <v>-117.66450279999999</v>
      </c>
      <c r="D4483" t="str">
        <f>HYPERLINK("https://streetviewpixels-pa.googleapis.com/v1/thumbnail?panoid=oSifSaR9gt_2r4WvJczawQ&amp;cb_client=search.gws-prod.gps&amp;w=408&amp;h=240&amp;yaw=23.251097&amp;pitch=0&amp;thumbfov=100", "link")</f>
        <v>link</v>
      </c>
    </row>
    <row r="4484" spans="1:4" x14ac:dyDescent="0.45">
      <c r="A4484" t="s">
        <v>4486</v>
      </c>
      <c r="B4484">
        <v>33.548470299999998</v>
      </c>
      <c r="C4484">
        <v>-117.6631052</v>
      </c>
      <c r="D4484" t="str">
        <f>HYPERLINK("https://streetviewpixels-pa.googleapis.com/v1/thumbnail?panoid=gLYHnEvUiS4diOBlOc31qw&amp;cb_client=search.gws-prod.gps&amp;w=408&amp;h=240&amp;yaw=28.193672&amp;pitch=0&amp;thumbfov=100", "link")</f>
        <v>link</v>
      </c>
    </row>
    <row r="4485" spans="1:4" x14ac:dyDescent="0.45">
      <c r="A4485" t="s">
        <v>4487</v>
      </c>
      <c r="B4485">
        <v>33.562551399999997</v>
      </c>
      <c r="C4485">
        <v>-117.664219</v>
      </c>
      <c r="D4485" t="str">
        <f>HYPERLINK("https://streetviewpixels-pa.googleapis.com/v1/thumbnail?panoid=dW4ATiTyiIiSrz0P8g7qWA&amp;cb_client=search.gws-prod.gps&amp;w=408&amp;h=240&amp;yaw=159.88797&amp;pitch=0&amp;thumbfov=100", "link")</f>
        <v>link</v>
      </c>
    </row>
    <row r="4486" spans="1:4" x14ac:dyDescent="0.45">
      <c r="A4486" t="s">
        <v>4488</v>
      </c>
      <c r="B4486">
        <v>33.513294100000003</v>
      </c>
      <c r="C4486">
        <v>-117.7553594</v>
      </c>
      <c r="D4486" t="s">
        <v>5</v>
      </c>
    </row>
    <row r="4487" spans="1:4" x14ac:dyDescent="0.45">
      <c r="A4487" t="s">
        <v>4489</v>
      </c>
      <c r="B4487">
        <v>33.5305009</v>
      </c>
      <c r="C4487">
        <v>-117.7730823</v>
      </c>
      <c r="D4487" t="str">
        <f>HYPERLINK("https://streetviewpixels-pa.googleapis.com/v1/thumbnail?panoid=iO3d4RJ-DuLze3CKZHTm8Q&amp;cb_client=search.gws-prod.gps&amp;w=408&amp;h=240&amp;yaw=61.765392&amp;pitch=0&amp;thumbfov=100", "link")</f>
        <v>link</v>
      </c>
    </row>
    <row r="4488" spans="1:4" x14ac:dyDescent="0.45">
      <c r="A4488" t="s">
        <v>4490</v>
      </c>
      <c r="B4488">
        <v>33.509917399999999</v>
      </c>
      <c r="C4488">
        <v>-117.7518146</v>
      </c>
      <c r="D4488" t="str">
        <f>HYPERLINK("https://lh5.googleusercontent.com/p/AF1QipOvUi50bmGQ4SYTjfxS3hqW9lJr6vk2bEsLTPGO=w408-h306-k-no", "link")</f>
        <v>link</v>
      </c>
    </row>
    <row r="4489" spans="1:4" x14ac:dyDescent="0.45">
      <c r="A4489" t="s">
        <v>4491</v>
      </c>
      <c r="B4489">
        <v>33.548991999999998</v>
      </c>
      <c r="C4489">
        <v>-117.7806198</v>
      </c>
      <c r="D4489" t="str">
        <f>HYPERLINK("https://lh5.googleusercontent.com/p/AF1QipPAxat7xF_Pk6M6QOUOTEwLeOeRJgM5WpcPTmay=w408-h544-k-no", "link")</f>
        <v>link</v>
      </c>
    </row>
    <row r="4490" spans="1:4" x14ac:dyDescent="0.45">
      <c r="A4490" t="s">
        <v>4492</v>
      </c>
      <c r="B4490">
        <v>33.533603699999901</v>
      </c>
      <c r="C4490">
        <v>-117.7769</v>
      </c>
      <c r="D4490" t="str">
        <f>HYPERLINK("https://streetviewpixels-pa.googleapis.com/v1/thumbnail?panoid=EM9sFZf-k-DoGVLDxHuFHA&amp;cb_client=search.gws-prod.gps&amp;w=408&amp;h=240&amp;yaw=57.96205&amp;pitch=0&amp;thumbfov=100", "link")</f>
        <v>link</v>
      </c>
    </row>
    <row r="4491" spans="1:4" x14ac:dyDescent="0.45">
      <c r="A4491" t="s">
        <v>4493</v>
      </c>
      <c r="B4491">
        <v>33.537533600000003</v>
      </c>
      <c r="C4491">
        <v>-117.7791543</v>
      </c>
      <c r="D4491" t="str">
        <f>HYPERLINK("https://streetviewpixels-pa.googleapis.com/v1/thumbnail?panoid=wAUVyUg_jICi-agn8BmUOA&amp;cb_client=search.gws-prod.gps&amp;w=408&amp;h=240&amp;yaw=66.39723&amp;pitch=0&amp;thumbfov=100", "link")</f>
        <v>link</v>
      </c>
    </row>
    <row r="4492" spans="1:4" x14ac:dyDescent="0.45">
      <c r="A4492" t="s">
        <v>4494</v>
      </c>
      <c r="B4492">
        <v>33.545866599999997</v>
      </c>
      <c r="C4492">
        <v>-117.7815317</v>
      </c>
      <c r="D4492" t="str">
        <f>HYPERLINK("https://streetviewpixels-pa.googleapis.com/v1/thumbnail?panoid=_pcictwU_eY7TwXzCC2H_Q&amp;cb_client=search.gws-prod.gps&amp;w=408&amp;h=240&amp;yaw=91.36577&amp;pitch=0&amp;thumbfov=100", "link")</f>
        <v>link</v>
      </c>
    </row>
    <row r="4493" spans="1:4" x14ac:dyDescent="0.45">
      <c r="A4493" t="s">
        <v>4495</v>
      </c>
      <c r="B4493">
        <v>33.546871099999997</v>
      </c>
      <c r="C4493">
        <v>-117.78182</v>
      </c>
      <c r="D4493" t="s">
        <v>5</v>
      </c>
    </row>
    <row r="4494" spans="1:4" x14ac:dyDescent="0.45">
      <c r="A4494" t="s">
        <v>4496</v>
      </c>
      <c r="B4494">
        <v>33.5464038</v>
      </c>
      <c r="C4494">
        <v>-117.7817726</v>
      </c>
      <c r="D4494" t="s">
        <v>5</v>
      </c>
    </row>
    <row r="4495" spans="1:4" x14ac:dyDescent="0.45">
      <c r="A4495" t="s">
        <v>4497</v>
      </c>
      <c r="B4495">
        <v>33.543116599999998</v>
      </c>
      <c r="C4495">
        <v>-117.78124200000001</v>
      </c>
      <c r="D4495" t="str">
        <f>HYPERLINK("https://streetviewpixels-pa.googleapis.com/v1/thumbnail?panoid=2ZVAUucbboEPgkap5wwoWw&amp;cb_client=search.gws-prod.gps&amp;w=408&amp;h=240&amp;yaw=341.46082&amp;pitch=0&amp;thumbfov=100", "link")</f>
        <v>link</v>
      </c>
    </row>
    <row r="4496" spans="1:4" x14ac:dyDescent="0.45">
      <c r="A4496" t="s">
        <v>4498</v>
      </c>
      <c r="B4496">
        <v>33.545811100000002</v>
      </c>
      <c r="C4496">
        <v>-117.78192540000001</v>
      </c>
      <c r="D4496" t="str">
        <f>HYPERLINK("https://streetviewpixels-pa.googleapis.com/v1/thumbnail?panoid=dO4n48xK5NuwEemrfUPv4w&amp;cb_client=search.gws-prod.gps&amp;w=408&amp;h=240&amp;yaw=344.22955&amp;pitch=0&amp;thumbfov=100", "link")</f>
        <v>link</v>
      </c>
    </row>
    <row r="4497" spans="1:4" x14ac:dyDescent="0.45">
      <c r="A4497" t="s">
        <v>4499</v>
      </c>
      <c r="B4497">
        <v>33.504084800000001</v>
      </c>
      <c r="C4497">
        <v>-117.7456519</v>
      </c>
      <c r="D4497" t="s">
        <v>5</v>
      </c>
    </row>
    <row r="4498" spans="1:4" x14ac:dyDescent="0.45">
      <c r="A4498" t="s">
        <v>4500</v>
      </c>
      <c r="B4498">
        <v>33.5516316</v>
      </c>
      <c r="C4498">
        <v>-117.72015039999999</v>
      </c>
      <c r="D4498" t="s">
        <v>5</v>
      </c>
    </row>
    <row r="4499" spans="1:4" x14ac:dyDescent="0.45">
      <c r="A4499" t="s">
        <v>4501</v>
      </c>
      <c r="B4499">
        <v>33.551464099999997</v>
      </c>
      <c r="C4499">
        <v>-117.7199267</v>
      </c>
      <c r="D4499" t="s">
        <v>5</v>
      </c>
    </row>
    <row r="4500" spans="1:4" x14ac:dyDescent="0.45">
      <c r="A4500" t="s">
        <v>4502</v>
      </c>
      <c r="B4500">
        <v>33.552046500000003</v>
      </c>
      <c r="C4500">
        <v>-117.71794970000001</v>
      </c>
      <c r="D4500" t="str">
        <f>HYPERLINK("https://streetviewpixels-pa.googleapis.com/v1/thumbnail?panoid=9D3b-9c7-tXunvCHSDnoeA&amp;cb_client=search.gws-prod.gps&amp;w=408&amp;h=240&amp;yaw=153.75565&amp;pitch=0&amp;thumbfov=100", "link")</f>
        <v>link</v>
      </c>
    </row>
    <row r="4501" spans="1:4" x14ac:dyDescent="0.45">
      <c r="A4501" t="s">
        <v>4503</v>
      </c>
      <c r="B4501">
        <v>33.559307099999998</v>
      </c>
      <c r="C4501">
        <v>-117.7162794</v>
      </c>
      <c r="D4501" t="str">
        <f>HYPERLINK("https://streetviewpixels-pa.googleapis.com/v1/thumbnail?panoid=V_cEjkyeEBbkcMTSSCz8kw&amp;cb_client=search.gws-prod.gps&amp;w=408&amp;h=240&amp;yaw=295.6291&amp;pitch=0&amp;thumbfov=100", "link")</f>
        <v>link</v>
      </c>
    </row>
    <row r="4502" spans="1:4" x14ac:dyDescent="0.45">
      <c r="A4502" t="s">
        <v>4504</v>
      </c>
      <c r="B4502">
        <v>33.5521691</v>
      </c>
      <c r="C4502">
        <v>-117.7090901</v>
      </c>
      <c r="D4502" t="s">
        <v>5</v>
      </c>
    </row>
    <row r="4503" spans="1:4" x14ac:dyDescent="0.45">
      <c r="A4503" t="s">
        <v>4505</v>
      </c>
      <c r="B4503">
        <v>33.556518599999997</v>
      </c>
      <c r="C4503">
        <v>-117.7323892</v>
      </c>
      <c r="D4503" t="s">
        <v>5</v>
      </c>
    </row>
    <row r="4504" spans="1:4" x14ac:dyDescent="0.45">
      <c r="A4504" t="s">
        <v>4506</v>
      </c>
      <c r="B4504">
        <v>33.556681900000001</v>
      </c>
      <c r="C4504">
        <v>-117.7322994</v>
      </c>
      <c r="D4504" t="s">
        <v>5</v>
      </c>
    </row>
    <row r="4505" spans="1:4" x14ac:dyDescent="0.45">
      <c r="A4505" t="s">
        <v>4507</v>
      </c>
      <c r="B4505">
        <v>33.540994300000001</v>
      </c>
      <c r="C4505">
        <v>-117.7141534</v>
      </c>
      <c r="D4505" t="s">
        <v>5</v>
      </c>
    </row>
    <row r="4506" spans="1:4" x14ac:dyDescent="0.45">
      <c r="A4506" t="s">
        <v>4508</v>
      </c>
      <c r="B4506">
        <v>33.567382499999901</v>
      </c>
      <c r="C4506">
        <v>-117.710014</v>
      </c>
      <c r="D4506" t="str">
        <f>HYPERLINK("https://streetviewpixels-pa.googleapis.com/v1/thumbnail?panoid=jQJODXCDDXkZrcobeWIixQ&amp;cb_client=search.gws-prod.gps&amp;w=408&amp;h=240&amp;yaw=274.9828&amp;pitch=0&amp;thumbfov=100", "link")</f>
        <v>link</v>
      </c>
    </row>
    <row r="4507" spans="1:4" x14ac:dyDescent="0.45">
      <c r="A4507" t="s">
        <v>4509</v>
      </c>
      <c r="B4507">
        <v>33.527737299999998</v>
      </c>
      <c r="C4507">
        <v>-117.71005839999999</v>
      </c>
      <c r="D4507" t="str">
        <f>HYPERLINK("https://streetviewpixels-pa.googleapis.com/v1/thumbnail?panoid=dwfWmjBVZ_Cxxsm8XNd85A&amp;cb_client=search.gws-prod.gps&amp;w=408&amp;h=240&amp;yaw=335.4565&amp;pitch=0&amp;thumbfov=100", "link")</f>
        <v>link</v>
      </c>
    </row>
    <row r="4508" spans="1:4" x14ac:dyDescent="0.45">
      <c r="A4508" t="s">
        <v>4510</v>
      </c>
      <c r="B4508">
        <v>33.577873400000001</v>
      </c>
      <c r="C4508">
        <v>-117.72614110000001</v>
      </c>
      <c r="D4508" t="str">
        <f>HYPERLINK("https://streetviewpixels-pa.googleapis.com/v1/thumbnail?panoid=jAINjts6XU68MjVeyrG5wQ&amp;cb_client=search.gws-prod.gps&amp;w=408&amp;h=240&amp;yaw=39.218388&amp;pitch=0&amp;thumbfov=100", "link")</f>
        <v>link</v>
      </c>
    </row>
    <row r="4509" spans="1:4" x14ac:dyDescent="0.45">
      <c r="A4509" t="s">
        <v>4511</v>
      </c>
      <c r="B4509">
        <v>33.582470200000003</v>
      </c>
      <c r="C4509">
        <v>-117.7309278</v>
      </c>
      <c r="D4509" t="str">
        <f>HYPERLINK("https://streetviewpixels-pa.googleapis.com/v1/thumbnail?panoid=FkbG6P7vs8pTH5wzQdGGdQ&amp;cb_client=search.gws-prod.gps&amp;w=408&amp;h=240&amp;yaw=228.61472&amp;pitch=0&amp;thumbfov=100", "link")</f>
        <v>link</v>
      </c>
    </row>
    <row r="4510" spans="1:4" x14ac:dyDescent="0.45">
      <c r="A4510" t="s">
        <v>4512</v>
      </c>
      <c r="B4510">
        <v>33.551710499999999</v>
      </c>
      <c r="C4510">
        <v>-117.674835</v>
      </c>
      <c r="D4510" t="s">
        <v>5</v>
      </c>
    </row>
    <row r="4511" spans="1:4" x14ac:dyDescent="0.45">
      <c r="A4511" t="s">
        <v>4513</v>
      </c>
      <c r="B4511">
        <v>33.551059100000003</v>
      </c>
      <c r="C4511">
        <v>-117.6746004</v>
      </c>
      <c r="D4511" t="str">
        <f>HYPERLINK("https://lh5.googleusercontent.com/p/AF1QipMpKTLwr3qA5-NvBcnQIkR93GorhZ6jV6C6qIeD=w408-h408-k-no", "link")</f>
        <v>link</v>
      </c>
    </row>
    <row r="4512" spans="1:4" x14ac:dyDescent="0.45">
      <c r="A4512" t="s">
        <v>4514</v>
      </c>
      <c r="B4512">
        <v>33.5671319</v>
      </c>
      <c r="C4512">
        <v>-117.764183</v>
      </c>
      <c r="D4512" t="s">
        <v>5</v>
      </c>
    </row>
    <row r="4513" spans="1:4" x14ac:dyDescent="0.45">
      <c r="A4513" t="s">
        <v>4515</v>
      </c>
      <c r="B4513">
        <v>33.559794799999999</v>
      </c>
      <c r="C4513">
        <v>-117.66985699999999</v>
      </c>
      <c r="D4513" t="str">
        <f>HYPERLINK("https://streetviewpixels-pa.googleapis.com/v1/thumbnail?panoid=eQy3JZwDD2nour04ccLqjw&amp;cb_client=search.gws-prod.gps&amp;w=408&amp;h=240&amp;yaw=95.26384&amp;pitch=0&amp;thumbfov=100", "link")</f>
        <v>link</v>
      </c>
    </row>
    <row r="4514" spans="1:4" x14ac:dyDescent="0.45">
      <c r="A4514" t="s">
        <v>4516</v>
      </c>
      <c r="B4514">
        <v>33.558847700000001</v>
      </c>
      <c r="C4514">
        <v>-117.6686387</v>
      </c>
      <c r="D4514" t="str">
        <f>HYPERLINK("https://streetviewpixels-pa.googleapis.com/v1/thumbnail?panoid=AKpoopYJM9xNH8_iwVph-g&amp;cb_client=search.gws-prod.gps&amp;w=408&amp;h=240&amp;yaw=125.65275&amp;pitch=0&amp;thumbfov=100", "link")</f>
        <v>link</v>
      </c>
    </row>
    <row r="4515" spans="1:4" x14ac:dyDescent="0.45">
      <c r="A4515" t="s">
        <v>4517</v>
      </c>
      <c r="B4515">
        <v>33.554510399999998</v>
      </c>
      <c r="C4515">
        <v>-117.66658529999999</v>
      </c>
      <c r="D4515" t="s">
        <v>5</v>
      </c>
    </row>
    <row r="4516" spans="1:4" x14ac:dyDescent="0.45">
      <c r="A4516" t="s">
        <v>4518</v>
      </c>
      <c r="B4516">
        <v>33.557833299999999</v>
      </c>
      <c r="C4516">
        <v>-117.77465290000001</v>
      </c>
      <c r="D4516" t="s">
        <v>5</v>
      </c>
    </row>
    <row r="4517" spans="1:4" x14ac:dyDescent="0.45">
      <c r="A4517" t="s">
        <v>4519</v>
      </c>
      <c r="B4517">
        <v>33.555644600000001</v>
      </c>
      <c r="C4517">
        <v>-117.6653302</v>
      </c>
      <c r="D4517" t="str">
        <f>HYPERLINK("https://lh5.googleusercontent.com/p/AF1QipMHQe5MmRUb_cvlZj3ZWW5aZP980FXKCz0nv0WH=w408-h408-k-no", "link")</f>
        <v>link</v>
      </c>
    </row>
    <row r="4518" spans="1:4" x14ac:dyDescent="0.45">
      <c r="A4518" t="s">
        <v>4520</v>
      </c>
      <c r="B4518">
        <v>33.593960000000003</v>
      </c>
      <c r="C4518">
        <v>-117.680075</v>
      </c>
      <c r="D4518" t="s">
        <v>5</v>
      </c>
    </row>
    <row r="4519" spans="1:4" x14ac:dyDescent="0.45">
      <c r="A4519" t="s">
        <v>4521</v>
      </c>
      <c r="B4519">
        <v>33.6173365</v>
      </c>
      <c r="C4519">
        <v>-117.70783</v>
      </c>
      <c r="D4519" t="s">
        <v>5</v>
      </c>
    </row>
    <row r="4520" spans="1:4" x14ac:dyDescent="0.45">
      <c r="A4520" t="s">
        <v>4522</v>
      </c>
      <c r="B4520">
        <v>33.626506200000001</v>
      </c>
      <c r="C4520">
        <v>-117.7328074</v>
      </c>
      <c r="D4520" t="s">
        <v>5</v>
      </c>
    </row>
    <row r="4521" spans="1:4" x14ac:dyDescent="0.45">
      <c r="A4521" t="s">
        <v>4523</v>
      </c>
      <c r="B4521">
        <v>33.626593100000001</v>
      </c>
      <c r="C4521">
        <v>-117.7332139</v>
      </c>
      <c r="D4521" t="s">
        <v>5</v>
      </c>
    </row>
    <row r="4522" spans="1:4" x14ac:dyDescent="0.45">
      <c r="A4522" t="s">
        <v>4524</v>
      </c>
      <c r="B4522">
        <v>33.625535900000003</v>
      </c>
      <c r="C4522">
        <v>-117.719093</v>
      </c>
      <c r="D4522" t="str">
        <f>HYPERLINK("https://streetviewpixels-pa.googleapis.com/v1/thumbnail?panoid=_fuzplIpIr_V_s_Hw0wqCA&amp;cb_client=search.gws-prod.gps&amp;w=408&amp;h=240&amp;yaw=236.70248&amp;pitch=0&amp;thumbfov=100", "link")</f>
        <v>link</v>
      </c>
    </row>
    <row r="4523" spans="1:4" x14ac:dyDescent="0.45">
      <c r="A4523" t="s">
        <v>4525</v>
      </c>
      <c r="B4523">
        <v>33.595719799999998</v>
      </c>
      <c r="C4523">
        <v>-117.6704352</v>
      </c>
      <c r="D4523" t="s">
        <v>5</v>
      </c>
    </row>
    <row r="4524" spans="1:4" x14ac:dyDescent="0.45">
      <c r="A4524" t="s">
        <v>4526</v>
      </c>
      <c r="B4524">
        <v>33.545230699999998</v>
      </c>
      <c r="C4524">
        <v>-117.7831303</v>
      </c>
      <c r="D4524" t="str">
        <f>HYPERLINK("https://streetviewpixels-pa.googleapis.com/v1/thumbnail?panoid=oU4w4cRUa44OLsZCF3wzbg&amp;cb_client=search.gws-prod.gps&amp;w=408&amp;h=240&amp;yaw=284.38193&amp;pitch=0&amp;thumbfov=100", "link")</f>
        <v>link</v>
      </c>
    </row>
    <row r="4525" spans="1:4" x14ac:dyDescent="0.45">
      <c r="A4525" t="s">
        <v>4527</v>
      </c>
      <c r="B4525">
        <v>33.606332899999998</v>
      </c>
      <c r="C4525">
        <v>-117.72295080000001</v>
      </c>
      <c r="D4525" t="s">
        <v>5</v>
      </c>
    </row>
    <row r="4526" spans="1:4" x14ac:dyDescent="0.45">
      <c r="A4526" t="s">
        <v>4528</v>
      </c>
      <c r="B4526">
        <v>33.607813999999998</v>
      </c>
      <c r="C4526">
        <v>-117.70941639999999</v>
      </c>
      <c r="D4526" t="s">
        <v>5</v>
      </c>
    </row>
    <row r="4527" spans="1:4" x14ac:dyDescent="0.45">
      <c r="A4527" t="s">
        <v>4529</v>
      </c>
      <c r="B4527">
        <v>33.607491799999998</v>
      </c>
      <c r="C4527">
        <v>-117.70883809999999</v>
      </c>
      <c r="D4527" t="s">
        <v>5</v>
      </c>
    </row>
    <row r="4528" spans="1:4" x14ac:dyDescent="0.45">
      <c r="A4528" t="s">
        <v>4530</v>
      </c>
      <c r="B4528">
        <v>33.607534000000001</v>
      </c>
      <c r="C4528">
        <v>-117.7086997</v>
      </c>
      <c r="D4528" t="s">
        <v>5</v>
      </c>
    </row>
    <row r="4529" spans="1:4" x14ac:dyDescent="0.45">
      <c r="A4529" t="s">
        <v>4531</v>
      </c>
      <c r="B4529">
        <v>33.6081796</v>
      </c>
      <c r="C4529">
        <v>-117.7096629</v>
      </c>
      <c r="D4529" t="s">
        <v>5</v>
      </c>
    </row>
    <row r="4530" spans="1:4" x14ac:dyDescent="0.45">
      <c r="A4530" t="s">
        <v>4532</v>
      </c>
      <c r="B4530">
        <v>33.607059299999896</v>
      </c>
      <c r="C4530">
        <v>-117.7059266</v>
      </c>
      <c r="D4530" t="str">
        <f>HYPERLINK("https://streetviewpixels-pa.googleapis.com/v1/thumbnail?panoid=MQoSj9xHtkAl6Vzm5v4Duw&amp;cb_client=search.gws-prod.gps&amp;w=408&amp;h=240&amp;yaw=146.51637&amp;pitch=0&amp;thumbfov=100", "link")</f>
        <v>link</v>
      </c>
    </row>
    <row r="4531" spans="1:4" x14ac:dyDescent="0.45">
      <c r="A4531" t="s">
        <v>4533</v>
      </c>
      <c r="B4531">
        <v>33.608798800000002</v>
      </c>
      <c r="C4531">
        <v>-117.708105</v>
      </c>
      <c r="D4531" t="s">
        <v>5</v>
      </c>
    </row>
    <row r="4532" spans="1:4" x14ac:dyDescent="0.45">
      <c r="A4532" t="s">
        <v>4534</v>
      </c>
      <c r="B4532">
        <v>33.610230799999997</v>
      </c>
      <c r="C4532">
        <v>-117.70352269999999</v>
      </c>
      <c r="D4532" t="s">
        <v>5</v>
      </c>
    </row>
    <row r="4533" spans="1:4" x14ac:dyDescent="0.45">
      <c r="A4533" t="s">
        <v>4535</v>
      </c>
      <c r="B4533">
        <v>33.608024800000003</v>
      </c>
      <c r="C4533">
        <v>-117.7640456</v>
      </c>
      <c r="D4533" t="s">
        <v>5</v>
      </c>
    </row>
    <row r="4534" spans="1:4" x14ac:dyDescent="0.45">
      <c r="A4534" t="s">
        <v>4536</v>
      </c>
      <c r="B4534">
        <v>33.521100300000001</v>
      </c>
      <c r="C4534">
        <v>-117.6649812</v>
      </c>
      <c r="D4534" t="s">
        <v>5</v>
      </c>
    </row>
    <row r="4535" spans="1:4" x14ac:dyDescent="0.45">
      <c r="A4535" t="s">
        <v>4537</v>
      </c>
      <c r="B4535">
        <v>33.520395999999998</v>
      </c>
      <c r="C4535">
        <v>-117.66451499999999</v>
      </c>
      <c r="D4535" t="str">
        <f>HYPERLINK("https://lh5.googleusercontent.com/p/AF1QipNYD5NHRtI6wZLex1fWv0mRxL5EiLSG5UlMK9yZ=w408-h544-k-no", "link")</f>
        <v>link</v>
      </c>
    </row>
    <row r="4536" spans="1:4" x14ac:dyDescent="0.45">
      <c r="A4536" t="s">
        <v>4538</v>
      </c>
      <c r="B4536">
        <v>33.565354300000003</v>
      </c>
      <c r="C4536">
        <v>-117.64743799999999</v>
      </c>
      <c r="D4536" t="s">
        <v>5</v>
      </c>
    </row>
    <row r="4537" spans="1:4" x14ac:dyDescent="0.45">
      <c r="A4537" t="s">
        <v>4539</v>
      </c>
      <c r="B4537">
        <v>33.502774899999999</v>
      </c>
      <c r="C4537">
        <v>-117.6790743</v>
      </c>
      <c r="D4537" t="s">
        <v>5</v>
      </c>
    </row>
    <row r="4538" spans="1:4" x14ac:dyDescent="0.45">
      <c r="A4538" t="s">
        <v>4540</v>
      </c>
      <c r="B4538">
        <v>33.807606900000003</v>
      </c>
      <c r="C4538">
        <v>-117.9149118</v>
      </c>
      <c r="D4538" t="str">
        <f>HYPERLINK("https://streetviewpixels-pa.googleapis.com/v1/thumbnail?panoid=jR3Ka2fCmCFiNHW_9xRN9A&amp;cb_client=search.gws-prod.gps&amp;w=408&amp;h=240&amp;yaw=65.63989&amp;pitch=0&amp;thumbfov=100", "link")</f>
        <v>link</v>
      </c>
    </row>
    <row r="4539" spans="1:4" x14ac:dyDescent="0.45">
      <c r="A4539" t="s">
        <v>4541</v>
      </c>
      <c r="B4539">
        <v>33.810101400000001</v>
      </c>
      <c r="C4539">
        <v>-117.926914</v>
      </c>
      <c r="D4539" t="str">
        <f>HYPERLINK("https://lh5.googleusercontent.com/p/AF1QipOtHhDpXMIbHkgRiRiDX68noipNy_hubPQFb8vb=w408-h544-k-no", "link")</f>
        <v>link</v>
      </c>
    </row>
    <row r="4540" spans="1:4" x14ac:dyDescent="0.45">
      <c r="A4540" t="s">
        <v>4542</v>
      </c>
      <c r="B4540">
        <v>33.807689000000003</v>
      </c>
      <c r="C4540">
        <v>-117.9142986</v>
      </c>
      <c r="D4540" t="s">
        <v>5</v>
      </c>
    </row>
    <row r="4541" spans="1:4" x14ac:dyDescent="0.45">
      <c r="A4541" t="s">
        <v>4543</v>
      </c>
      <c r="B4541">
        <v>33.810747399999997</v>
      </c>
      <c r="C4541">
        <v>-117.9264105</v>
      </c>
      <c r="D4541" t="s">
        <v>5</v>
      </c>
    </row>
    <row r="4542" spans="1:4" x14ac:dyDescent="0.45">
      <c r="A4542" t="s">
        <v>4544</v>
      </c>
      <c r="B4542">
        <v>33.8007688</v>
      </c>
      <c r="C4542">
        <v>-117.9102255</v>
      </c>
      <c r="D4542" t="str">
        <f>HYPERLINK("https://lh5.googleusercontent.com/p/AF1QipMqtYS0UkdXX9uZd5dfL4zUcoqkcJh4PGPSz5c=w408-h544-k-no", "link")</f>
        <v>link</v>
      </c>
    </row>
    <row r="4543" spans="1:4" x14ac:dyDescent="0.45">
      <c r="A4543" t="s">
        <v>4545</v>
      </c>
      <c r="B4543">
        <v>33.811309299999998</v>
      </c>
      <c r="C4543">
        <v>-117.9252663</v>
      </c>
      <c r="D4543" t="s">
        <v>5</v>
      </c>
    </row>
    <row r="4544" spans="1:4" x14ac:dyDescent="0.45">
      <c r="A4544" t="s">
        <v>4546</v>
      </c>
      <c r="B4544">
        <v>33.811354000000001</v>
      </c>
      <c r="C4544">
        <v>-117.92515400000001</v>
      </c>
      <c r="D4544" t="s">
        <v>5</v>
      </c>
    </row>
    <row r="4545" spans="1:4" x14ac:dyDescent="0.45">
      <c r="A4545" t="s">
        <v>4547</v>
      </c>
      <c r="B4545">
        <v>33.811435699999997</v>
      </c>
      <c r="C4545">
        <v>-117.9256455</v>
      </c>
      <c r="D4545" t="str">
        <f>HYPERLINK("https://streetviewpixels-pa.googleapis.com/v1/thumbnail?panoid=LIxDy_gUKiW9fTT719ukjg&amp;cb_client=search.gws-prod.gps&amp;w=408&amp;h=240&amp;yaw=72.25677&amp;pitch=0&amp;thumbfov=100", "link")</f>
        <v>link</v>
      </c>
    </row>
    <row r="4546" spans="1:4" x14ac:dyDescent="0.45">
      <c r="A4546" t="s">
        <v>4548</v>
      </c>
      <c r="B4546">
        <v>33.808509399999998</v>
      </c>
      <c r="C4546">
        <v>-117.9138011</v>
      </c>
      <c r="D4546" t="s">
        <v>5</v>
      </c>
    </row>
    <row r="4547" spans="1:4" x14ac:dyDescent="0.45">
      <c r="A4547" t="s">
        <v>4549</v>
      </c>
      <c r="B4547">
        <v>33.811593600000002</v>
      </c>
      <c r="C4547">
        <v>-117.9267309</v>
      </c>
      <c r="D4547" t="s">
        <v>5</v>
      </c>
    </row>
    <row r="4548" spans="1:4" x14ac:dyDescent="0.45">
      <c r="A4548" t="s">
        <v>4550</v>
      </c>
      <c r="B4548">
        <v>33.811530099999999</v>
      </c>
      <c r="C4548">
        <v>-117.9276462</v>
      </c>
      <c r="D4548" t="s">
        <v>5</v>
      </c>
    </row>
    <row r="4549" spans="1:4" x14ac:dyDescent="0.45">
      <c r="A4549" t="s">
        <v>4551</v>
      </c>
      <c r="B4549">
        <v>33.807259500000001</v>
      </c>
      <c r="C4549">
        <v>-117.91179270000001</v>
      </c>
      <c r="D4549" t="str">
        <f>HYPERLINK("https://lh5.googleusercontent.com/p/AF1QipP03RmhDGPpQOvp48Z2b2Ly3XOUPdgjP22BNfTF=w493-h240-k-no", "link")</f>
        <v>link</v>
      </c>
    </row>
    <row r="4550" spans="1:4" x14ac:dyDescent="0.45">
      <c r="A4550" t="s">
        <v>4552</v>
      </c>
      <c r="B4550">
        <v>33.789933300000001</v>
      </c>
      <c r="C4550">
        <v>-117.91551750000001</v>
      </c>
      <c r="D4550" t="s">
        <v>5</v>
      </c>
    </row>
    <row r="4551" spans="1:4" x14ac:dyDescent="0.45">
      <c r="A4551" t="s">
        <v>4553</v>
      </c>
      <c r="B4551">
        <v>33.808105500000003</v>
      </c>
      <c r="C4551">
        <v>-117.9120846</v>
      </c>
      <c r="D4551" t="s">
        <v>5</v>
      </c>
    </row>
    <row r="4552" spans="1:4" x14ac:dyDescent="0.45">
      <c r="A4552" t="s">
        <v>4554</v>
      </c>
      <c r="B4552">
        <v>33.8101609</v>
      </c>
      <c r="C4552">
        <v>-117.9147504</v>
      </c>
      <c r="D4552" t="str">
        <f>HYPERLINK("https://streetviewpixels-pa.googleapis.com/v1/thumbnail?panoid=PsJAIxT7OIiAbZM6GL3Rpg&amp;cb_client=search.gws-prod.gps&amp;w=408&amp;h=240&amp;yaw=75.94887&amp;pitch=0&amp;thumbfov=100", "link")</f>
        <v>link</v>
      </c>
    </row>
    <row r="4553" spans="1:4" x14ac:dyDescent="0.45">
      <c r="A4553" t="s">
        <v>4555</v>
      </c>
      <c r="B4553">
        <v>33.813523400000001</v>
      </c>
      <c r="C4553">
        <v>-117.9267309</v>
      </c>
      <c r="D4553" t="str">
        <f>HYPERLINK("https://lh5.googleusercontent.com/p/AF1QipN8_ARmmmVqls5HURHBbB7AVkEmsYoSNjELf-_R=w408-h306-k-no", "link")</f>
        <v>link</v>
      </c>
    </row>
    <row r="4554" spans="1:4" x14ac:dyDescent="0.45">
      <c r="A4554" t="s">
        <v>4556</v>
      </c>
      <c r="B4554">
        <v>33.8135999</v>
      </c>
      <c r="C4554">
        <v>-117.9266118</v>
      </c>
      <c r="D4554" t="str">
        <f>HYPERLINK("https://lh5.googleusercontent.com/p/AF1QipN8_ARmmmVqls5HURHBbB7AVkEmsYoSNjELf-_R=w408-h306-k-no", "link")</f>
        <v>link</v>
      </c>
    </row>
    <row r="4555" spans="1:4" x14ac:dyDescent="0.45">
      <c r="A4555" t="s">
        <v>4557</v>
      </c>
      <c r="B4555">
        <v>33.804335299999998</v>
      </c>
      <c r="C4555">
        <v>-117.90613430000001</v>
      </c>
      <c r="D4555" t="s">
        <v>5</v>
      </c>
    </row>
    <row r="4556" spans="1:4" x14ac:dyDescent="0.45">
      <c r="A4556" t="s">
        <v>4558</v>
      </c>
      <c r="B4556">
        <v>33.787917899999897</v>
      </c>
      <c r="C4556">
        <v>-117.9118556</v>
      </c>
      <c r="D4556" t="s">
        <v>5</v>
      </c>
    </row>
    <row r="4557" spans="1:4" x14ac:dyDescent="0.45">
      <c r="A4557" t="s">
        <v>4559</v>
      </c>
      <c r="B4557">
        <v>33.815395899999999</v>
      </c>
      <c r="C4557">
        <v>-117.9263991</v>
      </c>
      <c r="D4557" t="s">
        <v>5</v>
      </c>
    </row>
    <row r="4558" spans="1:4" x14ac:dyDescent="0.45">
      <c r="A4558" t="s">
        <v>4560</v>
      </c>
      <c r="B4558">
        <v>33.800077100000003</v>
      </c>
      <c r="C4558">
        <v>-117.9234052</v>
      </c>
      <c r="D4558" t="str">
        <f>HYPERLINK("https://streetviewpixels-pa.googleapis.com/v1/thumbnail?panoid=nGsRmjpCVMwvDROyB5hsEQ&amp;cb_client=search.gws-prod.gps&amp;w=408&amp;h=240&amp;yaw=78.95632&amp;pitch=0&amp;thumbfov=100", "link")</f>
        <v>link</v>
      </c>
    </row>
    <row r="4559" spans="1:4" x14ac:dyDescent="0.45">
      <c r="A4559" t="s">
        <v>4561</v>
      </c>
      <c r="B4559">
        <v>33.801112600000003</v>
      </c>
      <c r="C4559">
        <v>-117.9229594</v>
      </c>
      <c r="D4559" t="s">
        <v>5</v>
      </c>
    </row>
    <row r="4560" spans="1:4" x14ac:dyDescent="0.45">
      <c r="A4560" t="s">
        <v>4562</v>
      </c>
      <c r="B4560">
        <v>33.7986711</v>
      </c>
      <c r="C4560">
        <v>-117.9233684</v>
      </c>
      <c r="D4560" t="s">
        <v>5</v>
      </c>
    </row>
    <row r="4561" spans="1:4" x14ac:dyDescent="0.45">
      <c r="A4561" t="s">
        <v>4563</v>
      </c>
      <c r="B4561">
        <v>33.800365200000002</v>
      </c>
      <c r="C4561">
        <v>-117.9208568</v>
      </c>
      <c r="D4561" t="str">
        <f>HYPERLINK("https://lh5.googleusercontent.com/p/AF1QipPAfxJpvd5wks-Cy4o84v5_EDcx2UwDdJ-RAiui=w430-h240-k-no", "link")</f>
        <v>link</v>
      </c>
    </row>
    <row r="4562" spans="1:4" x14ac:dyDescent="0.45">
      <c r="A4562" t="s">
        <v>4564</v>
      </c>
      <c r="B4562">
        <v>33.800809299999997</v>
      </c>
      <c r="C4562">
        <v>-117.9183553</v>
      </c>
      <c r="D4562" t="s">
        <v>5</v>
      </c>
    </row>
    <row r="4563" spans="1:4" x14ac:dyDescent="0.45">
      <c r="A4563" t="s">
        <v>4565</v>
      </c>
      <c r="B4563">
        <v>33.8008519999999</v>
      </c>
      <c r="C4563">
        <v>-117.91818170000001</v>
      </c>
      <c r="D4563" t="str">
        <f>HYPERLINK("https://lh5.googleusercontent.com/p/AF1QipPzZTbU-DQQexRuIwEqeYRw1-SIcKbPZBdg3hn4=w408-h306-k-no", "link")</f>
        <v>link</v>
      </c>
    </row>
    <row r="4564" spans="1:4" x14ac:dyDescent="0.45">
      <c r="A4564" t="s">
        <v>4566</v>
      </c>
      <c r="B4564">
        <v>33.8018182</v>
      </c>
      <c r="C4564">
        <v>-117.9181282</v>
      </c>
      <c r="D4564" t="s">
        <v>5</v>
      </c>
    </row>
    <row r="4565" spans="1:4" x14ac:dyDescent="0.45">
      <c r="A4565" t="s">
        <v>4567</v>
      </c>
      <c r="B4565">
        <v>33.803417199999998</v>
      </c>
      <c r="C4565">
        <v>-117.92753310000001</v>
      </c>
      <c r="D4565" t="str">
        <f>HYPERLINK("https://lh5.googleusercontent.com/p/AF1QipNFLylPtmbBD76yZXtr0DBudy4sofnojTvp2hTT=w408-h306-k-no", "link")</f>
        <v>link</v>
      </c>
    </row>
    <row r="4566" spans="1:4" x14ac:dyDescent="0.45">
      <c r="A4566" t="s">
        <v>4568</v>
      </c>
      <c r="B4566">
        <v>33.798602199999998</v>
      </c>
      <c r="C4566">
        <v>-117.917394</v>
      </c>
      <c r="D4566" t="s">
        <v>5</v>
      </c>
    </row>
    <row r="4567" spans="1:4" x14ac:dyDescent="0.45">
      <c r="A4567" t="s">
        <v>4569</v>
      </c>
      <c r="B4567">
        <v>33.8018292</v>
      </c>
      <c r="C4567">
        <v>-117.91744009999999</v>
      </c>
      <c r="D4567" t="str">
        <f>HYPERLINK("https://streetviewpixels-pa.googleapis.com/v1/thumbnail?panoid=SeKcMFjvBgE4xQmAS9o6rA&amp;cb_client=search.gws-prod.gps&amp;w=408&amp;h=240&amp;yaw=178.24884&amp;pitch=0&amp;thumbfov=100", "link")</f>
        <v>link</v>
      </c>
    </row>
    <row r="4568" spans="1:4" x14ac:dyDescent="0.45">
      <c r="A4568" t="s">
        <v>4570</v>
      </c>
      <c r="B4568">
        <v>33.805314899999999</v>
      </c>
      <c r="C4568">
        <v>-117.9241703</v>
      </c>
      <c r="D4568" t="s">
        <v>5</v>
      </c>
    </row>
    <row r="4569" spans="1:4" x14ac:dyDescent="0.45">
      <c r="A4569" t="s">
        <v>4571</v>
      </c>
      <c r="B4569">
        <v>33.806015700000003</v>
      </c>
      <c r="C4569">
        <v>-117.9253947</v>
      </c>
      <c r="D4569" t="str">
        <f>HYPERLINK("https://lh5.googleusercontent.com/p/AF1QipNN0iApsZ4s70vx4pUSBy1uvMvoSuzvwrDeL7TC=w408-h306-k-no", "link")</f>
        <v>link</v>
      </c>
    </row>
    <row r="4570" spans="1:4" x14ac:dyDescent="0.45">
      <c r="A4570" t="s">
        <v>4572</v>
      </c>
      <c r="B4570">
        <v>33.796761699999998</v>
      </c>
      <c r="C4570">
        <v>-117.91702789999999</v>
      </c>
      <c r="D4570" t="s">
        <v>5</v>
      </c>
    </row>
    <row r="4571" spans="1:4" x14ac:dyDescent="0.45">
      <c r="A4571" t="s">
        <v>4573</v>
      </c>
      <c r="B4571">
        <v>33.797088700000003</v>
      </c>
      <c r="C4571">
        <v>-117.91602090000001</v>
      </c>
      <c r="D4571" t="s">
        <v>5</v>
      </c>
    </row>
    <row r="4572" spans="1:4" x14ac:dyDescent="0.45">
      <c r="A4572" t="s">
        <v>4574</v>
      </c>
      <c r="B4572">
        <v>33.799940300000003</v>
      </c>
      <c r="C4572">
        <v>-117.91417869999999</v>
      </c>
      <c r="D4572" t="str">
        <f>HYPERLINK("https://streetviewpixels-pa.googleapis.com/v1/thumbnail?panoid=-sduI6IK9CX4nDQTiDlQZg&amp;cb_client=search.gws-prod.gps&amp;w=408&amp;h=240&amp;yaw=343.82465&amp;pitch=0&amp;thumbfov=100", "link")</f>
        <v>link</v>
      </c>
    </row>
    <row r="4573" spans="1:4" x14ac:dyDescent="0.45">
      <c r="A4573" t="s">
        <v>4575</v>
      </c>
      <c r="B4573">
        <v>33.807655199999999</v>
      </c>
      <c r="C4573">
        <v>-117.9250832</v>
      </c>
      <c r="D4573" t="s">
        <v>5</v>
      </c>
    </row>
    <row r="4574" spans="1:4" x14ac:dyDescent="0.45">
      <c r="A4574" t="s">
        <v>4576</v>
      </c>
      <c r="B4574">
        <v>33.802875499999999</v>
      </c>
      <c r="C4574">
        <v>-117.91258809999999</v>
      </c>
      <c r="D4574" t="s">
        <v>5</v>
      </c>
    </row>
    <row r="4575" spans="1:4" x14ac:dyDescent="0.45">
      <c r="A4575" t="s">
        <v>4577</v>
      </c>
      <c r="B4575">
        <v>33.799823000000004</v>
      </c>
      <c r="C4575">
        <v>-117.9117461</v>
      </c>
      <c r="D4575" t="str">
        <f>HYPERLINK("https://lh5.googleusercontent.com/p/AF1QipO4-e8opIKCoBeV9gUJ9YE_vukh66r0IU9g89Dz=w506-h240-k-no", "link")</f>
        <v>link</v>
      </c>
    </row>
    <row r="4576" spans="1:4" x14ac:dyDescent="0.45">
      <c r="A4576" t="s">
        <v>4578</v>
      </c>
      <c r="B4576">
        <v>33.800679199999998</v>
      </c>
      <c r="C4576">
        <v>-117.911258</v>
      </c>
      <c r="D4576" t="s">
        <v>5</v>
      </c>
    </row>
    <row r="4577" spans="1:4" x14ac:dyDescent="0.45">
      <c r="A4577" t="s">
        <v>4579</v>
      </c>
      <c r="B4577">
        <v>33.803629999999998</v>
      </c>
      <c r="C4577">
        <v>-117.911978</v>
      </c>
      <c r="D4577" t="str">
        <f>HYPERLINK("https://streetviewpixels-pa.googleapis.com/v1/thumbnail?panoid=jXlJ11hXfjFNOw1bAOhWtw&amp;cb_client=search.gws-prod.gps&amp;w=408&amp;h=240&amp;yaw=348.43317&amp;pitch=0&amp;thumbfov=100", "link")</f>
        <v>link</v>
      </c>
    </row>
    <row r="4578" spans="1:4" x14ac:dyDescent="0.45">
      <c r="A4578" t="s">
        <v>4580</v>
      </c>
      <c r="B4578">
        <v>33.867536999999899</v>
      </c>
      <c r="C4578">
        <v>-117.752229</v>
      </c>
      <c r="D4578" t="s">
        <v>5</v>
      </c>
    </row>
    <row r="4579" spans="1:4" x14ac:dyDescent="0.45">
      <c r="A4579" t="s">
        <v>4581</v>
      </c>
      <c r="B4579">
        <v>33.869169900000003</v>
      </c>
      <c r="C4579">
        <v>-117.76625</v>
      </c>
      <c r="D4579" t="s">
        <v>5</v>
      </c>
    </row>
    <row r="4580" spans="1:4" x14ac:dyDescent="0.45">
      <c r="A4580" t="s">
        <v>4582</v>
      </c>
      <c r="B4580">
        <v>33.8527196</v>
      </c>
      <c r="C4580">
        <v>-117.7880935</v>
      </c>
      <c r="D4580" t="s">
        <v>5</v>
      </c>
    </row>
    <row r="4581" spans="1:4" x14ac:dyDescent="0.45">
      <c r="A4581" t="s">
        <v>4583</v>
      </c>
      <c r="B4581">
        <v>33.852619699999998</v>
      </c>
      <c r="C4581">
        <v>-117.7888877</v>
      </c>
      <c r="D4581" t="s">
        <v>5</v>
      </c>
    </row>
    <row r="4582" spans="1:4" x14ac:dyDescent="0.45">
      <c r="A4582" t="s">
        <v>4584</v>
      </c>
      <c r="B4582">
        <v>33.844944699999999</v>
      </c>
      <c r="C4582">
        <v>-117.78596589999999</v>
      </c>
      <c r="D4582" t="str">
        <f>HYPERLINK("https://streetviewpixels-pa.googleapis.com/v1/thumbnail?panoid=sHULRidcYngKuB6f-iVN7g&amp;cb_client=search.gws-prod.gps&amp;w=408&amp;h=240&amp;yaw=91.05369&amp;pitch=0&amp;thumbfov=100", "link")</f>
        <v>link</v>
      </c>
    </row>
    <row r="4583" spans="1:4" x14ac:dyDescent="0.45">
      <c r="A4583" t="s">
        <v>4585</v>
      </c>
      <c r="B4583">
        <v>33.870199800000002</v>
      </c>
      <c r="C4583">
        <v>-117.8034825</v>
      </c>
      <c r="D4583" t="s">
        <v>5</v>
      </c>
    </row>
    <row r="4584" spans="1:4" x14ac:dyDescent="0.45">
      <c r="A4584" t="s">
        <v>4586</v>
      </c>
      <c r="B4584">
        <v>33.8919079</v>
      </c>
      <c r="C4584">
        <v>-117.8189186</v>
      </c>
      <c r="D4584" t="s">
        <v>5</v>
      </c>
    </row>
    <row r="4585" spans="1:4" x14ac:dyDescent="0.45">
      <c r="A4585" t="s">
        <v>4587</v>
      </c>
      <c r="B4585">
        <v>33.814377399999998</v>
      </c>
      <c r="C4585">
        <v>-117.7957692</v>
      </c>
      <c r="D4585" t="str">
        <f>HYPERLINK("https://lh5.googleusercontent.com/p/AF1QipPlI7jHuKYgQyYWIaLIySHD9Z-EkT_lFkyE-9GK=w408-h544-k-no", "link")</f>
        <v>link</v>
      </c>
    </row>
    <row r="4586" spans="1:4" x14ac:dyDescent="0.45">
      <c r="A4586" t="s">
        <v>4588</v>
      </c>
      <c r="B4586">
        <v>33.848876799999999</v>
      </c>
      <c r="C4586">
        <v>-117.9223829</v>
      </c>
      <c r="D4586" t="s">
        <v>5</v>
      </c>
    </row>
    <row r="4587" spans="1:4" x14ac:dyDescent="0.45">
      <c r="A4587" t="s">
        <v>4589</v>
      </c>
      <c r="B4587">
        <v>33.817743200000002</v>
      </c>
      <c r="C4587">
        <v>-117.91968249999999</v>
      </c>
      <c r="D4587" t="s">
        <v>5</v>
      </c>
    </row>
    <row r="4588" spans="1:4" x14ac:dyDescent="0.45">
      <c r="A4588" t="s">
        <v>4590</v>
      </c>
      <c r="B4588">
        <v>33.850359900000001</v>
      </c>
      <c r="C4588">
        <v>-117.9237102</v>
      </c>
      <c r="D4588" t="s">
        <v>5</v>
      </c>
    </row>
    <row r="4589" spans="1:4" x14ac:dyDescent="0.45">
      <c r="A4589" t="s">
        <v>4591</v>
      </c>
      <c r="B4589">
        <v>33.817105900000001</v>
      </c>
      <c r="C4589">
        <v>-117.9240958</v>
      </c>
      <c r="D4589" t="str">
        <f>HYPERLINK("https://streetviewpixels-pa.googleapis.com/v1/thumbnail?panoid=G1Z2QXAty3yrOuuCBjVYyA&amp;cb_client=search.gws-prod.gps&amp;w=408&amp;h=240&amp;yaw=179.6362&amp;pitch=0&amp;thumbfov=100", "link")</f>
        <v>link</v>
      </c>
    </row>
    <row r="4590" spans="1:4" x14ac:dyDescent="0.45">
      <c r="A4590" t="s">
        <v>4592</v>
      </c>
      <c r="B4590">
        <v>33.816518799999997</v>
      </c>
      <c r="C4590">
        <v>-117.924351</v>
      </c>
      <c r="D4590" t="s">
        <v>5</v>
      </c>
    </row>
    <row r="4591" spans="1:4" x14ac:dyDescent="0.45">
      <c r="A4591" t="s">
        <v>4593</v>
      </c>
      <c r="B4591">
        <v>33.833984600000001</v>
      </c>
      <c r="C4591">
        <v>-117.9166209</v>
      </c>
      <c r="D4591" t="str">
        <f>HYPERLINK("https://streetviewpixels-pa.googleapis.com/v1/thumbnail?panoid=K-GodvNI37IZaaE-RDl3eQ&amp;cb_client=search.gws-prod.gps&amp;w=408&amp;h=240&amp;yaw=347.53082&amp;pitch=0&amp;thumbfov=100", "link")</f>
        <v>link</v>
      </c>
    </row>
    <row r="4592" spans="1:4" x14ac:dyDescent="0.45">
      <c r="A4592" t="s">
        <v>4594</v>
      </c>
      <c r="B4592">
        <v>33.833103299999998</v>
      </c>
      <c r="C4592">
        <v>-117.9157895</v>
      </c>
      <c r="D4592" t="str">
        <f>HYPERLINK("https://streetviewpixels-pa.googleapis.com/v1/thumbnail?panoid=b8ADNYlZWeaz47MWMEyvew&amp;cb_client=search.gws-prod.gps&amp;w=408&amp;h=240&amp;yaw=271.11475&amp;pitch=0&amp;thumbfov=100", "link")</f>
        <v>link</v>
      </c>
    </row>
    <row r="4593" spans="1:4" x14ac:dyDescent="0.45">
      <c r="A4593" t="s">
        <v>4595</v>
      </c>
      <c r="B4593">
        <v>33.833420099999998</v>
      </c>
      <c r="C4593">
        <v>-117.915136</v>
      </c>
      <c r="D4593" t="str">
        <f>HYPERLINK("https://streetviewpixels-pa.googleapis.com/v1/thumbnail?panoid=qFc_eC_akXHaaWqDWHAGeQ&amp;cb_client=search.gws-prod.gps&amp;w=408&amp;h=240&amp;yaw=63.862675&amp;pitch=0&amp;thumbfov=100", "link")</f>
        <v>link</v>
      </c>
    </row>
    <row r="4594" spans="1:4" x14ac:dyDescent="0.45">
      <c r="A4594" t="s">
        <v>4596</v>
      </c>
      <c r="B4594">
        <v>33.833216</v>
      </c>
      <c r="C4594">
        <v>-117.914913</v>
      </c>
      <c r="D4594" t="str">
        <f>HYPERLINK("https://lh5.googleusercontent.com/p/AF1QipO8AbfJ9xYIRJFDryZQkxvQ5Z_kbT4PTzUTBOvz=w408-h544-k-no", "link")</f>
        <v>link</v>
      </c>
    </row>
    <row r="4595" spans="1:4" x14ac:dyDescent="0.45">
      <c r="A4595" t="s">
        <v>4597</v>
      </c>
      <c r="B4595">
        <v>33.834637000000001</v>
      </c>
      <c r="C4595">
        <v>-117.91474270000001</v>
      </c>
      <c r="D4595" t="str">
        <f>HYPERLINK("https://streetviewpixels-pa.googleapis.com/v1/thumbnail?panoid=4I68ydjjYYSoXqSoGW8XUQ&amp;cb_client=search.gws-prod.gps&amp;w=408&amp;h=240&amp;yaw=341.17834&amp;pitch=0&amp;thumbfov=100", "link")</f>
        <v>link</v>
      </c>
    </row>
    <row r="4596" spans="1:4" x14ac:dyDescent="0.45">
      <c r="A4596" t="s">
        <v>4598</v>
      </c>
      <c r="B4596">
        <v>33.835690800000002</v>
      </c>
      <c r="C4596">
        <v>-117.915014</v>
      </c>
      <c r="D4596" t="s">
        <v>5</v>
      </c>
    </row>
    <row r="4597" spans="1:4" x14ac:dyDescent="0.45">
      <c r="A4597" t="s">
        <v>4599</v>
      </c>
      <c r="B4597">
        <v>33.834032999999998</v>
      </c>
      <c r="C4597">
        <v>-117.91385099999999</v>
      </c>
      <c r="D4597" t="str">
        <f>HYPERLINK("https://lh5.googleusercontent.com/p/AF1QipNWmsDrAmQ_jieEaCqWT4B-Rrt6gnFVODjkQXy8=w408-h544-k-no", "link")</f>
        <v>link</v>
      </c>
    </row>
    <row r="4598" spans="1:4" x14ac:dyDescent="0.45">
      <c r="A4598" t="s">
        <v>4600</v>
      </c>
      <c r="B4598">
        <v>33.831691200000002</v>
      </c>
      <c r="C4598">
        <v>-117.9177214</v>
      </c>
      <c r="D4598" t="str">
        <f>HYPERLINK("https://streetviewpixels-pa.googleapis.com/v1/thumbnail?panoid=spN61FWJNGP1XjJZmfr_nA&amp;cb_client=search.gws-prod.gps&amp;w=408&amp;h=240&amp;yaw=250.86284&amp;pitch=0&amp;thumbfov=100", "link")</f>
        <v>link</v>
      </c>
    </row>
    <row r="4599" spans="1:4" x14ac:dyDescent="0.45">
      <c r="A4599" t="s">
        <v>4601</v>
      </c>
      <c r="B4599">
        <v>33.831736300000003</v>
      </c>
      <c r="C4599">
        <v>-117.91906520000001</v>
      </c>
      <c r="D4599" t="str">
        <f>HYPERLINK("https://streetviewpixels-pa.googleapis.com/v1/thumbnail?panoid=pNU50n8dSR-klLZIrHJP4A&amp;cb_client=search.gws-prod.gps&amp;w=408&amp;h=240&amp;yaw=132.35233&amp;pitch=0&amp;thumbfov=100", "link")</f>
        <v>link</v>
      </c>
    </row>
    <row r="4600" spans="1:4" x14ac:dyDescent="0.45">
      <c r="A4600" t="s">
        <v>4602</v>
      </c>
      <c r="B4600">
        <v>33.832560200000003</v>
      </c>
      <c r="C4600">
        <v>-117.91322599999999</v>
      </c>
      <c r="D4600" t="str">
        <f>HYPERLINK("https://streetviewpixels-pa.googleapis.com/v1/thumbnail?panoid=TCgk0Pou5YYtMRQW6ptyJg&amp;cb_client=search.gws-prod.gps&amp;w=408&amp;h=240&amp;yaw=256.52972&amp;pitch=0&amp;thumbfov=100", "link")</f>
        <v>link</v>
      </c>
    </row>
    <row r="4601" spans="1:4" x14ac:dyDescent="0.45">
      <c r="A4601" t="s">
        <v>4603</v>
      </c>
      <c r="B4601">
        <v>33.833219</v>
      </c>
      <c r="C4601">
        <v>-117.9126339</v>
      </c>
      <c r="D4601" t="s">
        <v>5</v>
      </c>
    </row>
    <row r="4602" spans="1:4" x14ac:dyDescent="0.45">
      <c r="A4602" t="s">
        <v>4604</v>
      </c>
      <c r="B4602">
        <v>33.833917499999998</v>
      </c>
      <c r="C4602">
        <v>-117.9123163</v>
      </c>
      <c r="D4602" t="str">
        <f>HYPERLINK("https://streetviewpixels-pa.googleapis.com/v1/thumbnail?panoid=xG49Zz4EFFK-f7A_xN99uQ&amp;cb_client=search.gws-prod.gps&amp;w=408&amp;h=240&amp;yaw=284.47617&amp;pitch=0&amp;thumbfov=100", "link")</f>
        <v>link</v>
      </c>
    </row>
    <row r="4603" spans="1:4" x14ac:dyDescent="0.45">
      <c r="A4603" t="s">
        <v>4605</v>
      </c>
      <c r="B4603">
        <v>33.833002999999998</v>
      </c>
      <c r="C4603">
        <v>-117.9120389</v>
      </c>
      <c r="D4603" t="s">
        <v>5</v>
      </c>
    </row>
    <row r="4604" spans="1:4" x14ac:dyDescent="0.45">
      <c r="A4604" t="s">
        <v>4606</v>
      </c>
      <c r="B4604">
        <v>33.834843699999901</v>
      </c>
      <c r="C4604">
        <v>-117.9118909</v>
      </c>
      <c r="D4604" t="str">
        <f>HYPERLINK("https://streetviewpixels-pa.googleapis.com/v1/thumbnail?panoid=xBbEeilfbjQg-qAz2EVzBw&amp;cb_client=search.gws-prod.gps&amp;w=408&amp;h=240&amp;yaw=253.76115&amp;pitch=0&amp;thumbfov=100", "link")</f>
        <v>link</v>
      </c>
    </row>
    <row r="4605" spans="1:4" x14ac:dyDescent="0.45">
      <c r="A4605" t="s">
        <v>4607</v>
      </c>
      <c r="B4605">
        <v>33.835921599999999</v>
      </c>
      <c r="C4605">
        <v>-117.91227430000001</v>
      </c>
      <c r="D4605" t="str">
        <f>HYPERLINK("https://streetviewpixels-pa.googleapis.com/v1/thumbnail?panoid=i_K2zlAjXIt1r1eIgmBKjA&amp;cb_client=search.gws-prod.gps&amp;w=408&amp;h=240&amp;yaw=3.4236672&amp;pitch=0&amp;thumbfov=100", "link")</f>
        <v>link</v>
      </c>
    </row>
    <row r="4606" spans="1:4" x14ac:dyDescent="0.45">
      <c r="A4606" t="s">
        <v>4608</v>
      </c>
      <c r="B4606">
        <v>33.8361065</v>
      </c>
      <c r="C4606">
        <v>-117.9122217</v>
      </c>
      <c r="D4606" t="str">
        <f>HYPERLINK("https://streetviewpixels-pa.googleapis.com/v1/thumbnail?panoid=i_K2zlAjXIt1r1eIgmBKjA&amp;cb_client=search.gws-prod.gps&amp;w=408&amp;h=240&amp;yaw=3.4236672&amp;pitch=0&amp;thumbfov=100", "link")</f>
        <v>link</v>
      </c>
    </row>
    <row r="4607" spans="1:4" x14ac:dyDescent="0.45">
      <c r="A4607" t="s">
        <v>4609</v>
      </c>
      <c r="B4607">
        <v>33.832141</v>
      </c>
      <c r="C4607">
        <v>-117.91194729999999</v>
      </c>
      <c r="D4607" t="s">
        <v>5</v>
      </c>
    </row>
    <row r="4608" spans="1:4" x14ac:dyDescent="0.45">
      <c r="A4608" t="s">
        <v>4610</v>
      </c>
      <c r="B4608">
        <v>33.8319671</v>
      </c>
      <c r="C4608">
        <v>-117.9116727</v>
      </c>
      <c r="D4608" t="s">
        <v>5</v>
      </c>
    </row>
    <row r="4609" spans="1:4" x14ac:dyDescent="0.45">
      <c r="A4609" t="s">
        <v>4611</v>
      </c>
      <c r="B4609">
        <v>33.818902000000001</v>
      </c>
      <c r="C4609">
        <v>-117.9131488</v>
      </c>
      <c r="D4609" t="str">
        <f>HYPERLINK("https://lh5.googleusercontent.com/p/AF1QipPF_HnJ36Y2YwsvT7OBZ5YQrS7_2w76FAFBPPPU=w408-h306-k-no", "link")</f>
        <v>link</v>
      </c>
    </row>
    <row r="4610" spans="1:4" x14ac:dyDescent="0.45">
      <c r="A4610" t="s">
        <v>4612</v>
      </c>
      <c r="B4610">
        <v>33.8188624</v>
      </c>
      <c r="C4610">
        <v>-117.912817</v>
      </c>
      <c r="D4610" t="s">
        <v>5</v>
      </c>
    </row>
    <row r="4611" spans="1:4" x14ac:dyDescent="0.45">
      <c r="A4611" t="s">
        <v>4613</v>
      </c>
      <c r="B4611">
        <v>33.807388699999997</v>
      </c>
      <c r="C4611">
        <v>-117.9038456</v>
      </c>
      <c r="D4611" t="s">
        <v>5</v>
      </c>
    </row>
    <row r="4612" spans="1:4" x14ac:dyDescent="0.45">
      <c r="A4612" t="s">
        <v>4614</v>
      </c>
      <c r="B4612">
        <v>33.809453300000001</v>
      </c>
      <c r="C4612">
        <v>-117.9021317</v>
      </c>
      <c r="D4612" t="s">
        <v>5</v>
      </c>
    </row>
    <row r="4613" spans="1:4" x14ac:dyDescent="0.45">
      <c r="A4613" t="s">
        <v>4615</v>
      </c>
      <c r="B4613">
        <v>33.807515700000003</v>
      </c>
      <c r="C4613">
        <v>-117.9016439</v>
      </c>
      <c r="D4613" t="s">
        <v>5</v>
      </c>
    </row>
    <row r="4614" spans="1:4" x14ac:dyDescent="0.45">
      <c r="A4614" t="s">
        <v>4616</v>
      </c>
      <c r="B4614">
        <v>33.816592499999999</v>
      </c>
      <c r="C4614">
        <v>-117.92406920000001</v>
      </c>
      <c r="D4614" t="s">
        <v>5</v>
      </c>
    </row>
    <row r="4615" spans="1:4" x14ac:dyDescent="0.45">
      <c r="A4615" t="s">
        <v>4617</v>
      </c>
      <c r="B4615">
        <v>33.815561099999996</v>
      </c>
      <c r="C4615">
        <v>-117.9260627</v>
      </c>
      <c r="D4615" t="str">
        <f>HYPERLINK("https://lh5.googleusercontent.com/p/AF1QipO5J6ZqzmSgM9I6GfwEC62mAaznMIEeI901JnsN=w426-h240-k-no", "link")</f>
        <v>link</v>
      </c>
    </row>
    <row r="4616" spans="1:4" x14ac:dyDescent="0.45">
      <c r="A4616" t="s">
        <v>4618</v>
      </c>
      <c r="B4616">
        <v>33.787618399999999</v>
      </c>
      <c r="C4616">
        <v>-117.8710196</v>
      </c>
      <c r="D4616" t="str">
        <f>HYPERLINK("https://streetviewpixels-pa.googleapis.com/v1/thumbnail?panoid=LBRZ2-4Z1YXx8VaGQCn-xA&amp;cb_client=search.gws-prod.gps&amp;w=408&amp;h=240&amp;yaw=155.99825&amp;pitch=0&amp;thumbfov=100", "link")</f>
        <v>link</v>
      </c>
    </row>
    <row r="4617" spans="1:4" x14ac:dyDescent="0.45">
      <c r="A4617" t="s">
        <v>4619</v>
      </c>
      <c r="B4617">
        <v>33.789844100000003</v>
      </c>
      <c r="C4617">
        <v>-117.89027609999999</v>
      </c>
      <c r="D4617" t="str">
        <f>HYPERLINK("https://streetviewpixels-pa.googleapis.com/v1/thumbnail?panoid=U3DS_hZH5EZzcL03FijBEQ&amp;cb_client=search.gws-prod.gps&amp;w=408&amp;h=240&amp;yaw=114.67155&amp;pitch=0&amp;thumbfov=100", "link")</f>
        <v>link</v>
      </c>
    </row>
    <row r="4618" spans="1:4" x14ac:dyDescent="0.45">
      <c r="A4618" t="s">
        <v>4620</v>
      </c>
      <c r="B4618">
        <v>33.790371499999999</v>
      </c>
      <c r="C4618">
        <v>-117.8912076</v>
      </c>
      <c r="D4618" t="str">
        <f>HYPERLINK("https://streetviewpixels-pa.googleapis.com/v1/thumbnail?panoid=CPSr-rajR91qyq_TFFFleQ&amp;cb_client=search.gws-prod.gps&amp;w=408&amp;h=240&amp;yaw=342.66745&amp;pitch=0&amp;thumbfov=100", "link")</f>
        <v>link</v>
      </c>
    </row>
    <row r="4619" spans="1:4" x14ac:dyDescent="0.45">
      <c r="A4619" t="s">
        <v>4621</v>
      </c>
      <c r="B4619">
        <v>33.788251199999998</v>
      </c>
      <c r="C4619">
        <v>-117.8886196</v>
      </c>
      <c r="D4619" t="str">
        <f>HYPERLINK("https://lh5.googleusercontent.com/p/AF1QipNUenDzacwO_jlkkxzBioUJeruBxeg599jgqJzP=w408-h306-k-no", "link")</f>
        <v>link</v>
      </c>
    </row>
    <row r="4620" spans="1:4" x14ac:dyDescent="0.45">
      <c r="A4620" t="s">
        <v>4622</v>
      </c>
      <c r="B4620">
        <v>33.793825200000001</v>
      </c>
      <c r="C4620">
        <v>-117.8571013</v>
      </c>
      <c r="D4620" t="s">
        <v>5</v>
      </c>
    </row>
    <row r="4621" spans="1:4" x14ac:dyDescent="0.45">
      <c r="A4621" t="s">
        <v>4623</v>
      </c>
      <c r="B4621">
        <v>33.7938142</v>
      </c>
      <c r="C4621">
        <v>-117.8570591</v>
      </c>
      <c r="D4621" t="s">
        <v>5</v>
      </c>
    </row>
    <row r="4622" spans="1:4" x14ac:dyDescent="0.45">
      <c r="A4622" t="s">
        <v>4624</v>
      </c>
      <c r="B4622">
        <v>33.788652499999998</v>
      </c>
      <c r="C4622">
        <v>-117.8900215</v>
      </c>
      <c r="D4622" t="s">
        <v>5</v>
      </c>
    </row>
    <row r="4623" spans="1:4" x14ac:dyDescent="0.45">
      <c r="A4623" t="s">
        <v>4625</v>
      </c>
      <c r="B4623">
        <v>33.786484600000001</v>
      </c>
      <c r="C4623">
        <v>-117.886222</v>
      </c>
      <c r="D4623" t="s">
        <v>5</v>
      </c>
    </row>
    <row r="4624" spans="1:4" x14ac:dyDescent="0.45">
      <c r="A4624" t="s">
        <v>4626</v>
      </c>
      <c r="B4624">
        <v>33.791172199999998</v>
      </c>
      <c r="C4624">
        <v>-117.8581109</v>
      </c>
      <c r="D4624" t="s">
        <v>5</v>
      </c>
    </row>
    <row r="4625" spans="1:4" x14ac:dyDescent="0.45">
      <c r="A4625" t="s">
        <v>4627</v>
      </c>
      <c r="B4625">
        <v>33.783795900000001</v>
      </c>
      <c r="C4625">
        <v>-117.8757945</v>
      </c>
      <c r="D4625" t="str">
        <f>HYPERLINK("https://streetviewpixels-pa.googleapis.com/v1/thumbnail?panoid=stMw0HY5Vo2PMpE1get84Q&amp;cb_client=search.gws-prod.gps&amp;w=408&amp;h=240&amp;yaw=90.13931&amp;pitch=0&amp;thumbfov=100", "link")</f>
        <v>link</v>
      </c>
    </row>
    <row r="4626" spans="1:4" x14ac:dyDescent="0.45">
      <c r="A4626" t="s">
        <v>4628</v>
      </c>
      <c r="B4626">
        <v>33.783878399999999</v>
      </c>
      <c r="C4626">
        <v>-117.88084050000001</v>
      </c>
      <c r="D4626" t="str">
        <f>HYPERLINK("https://streetviewpixels-pa.googleapis.com/v1/thumbnail?panoid=_Gv85Rz5LEH9C66maGz9Ww&amp;cb_client=search.gws-prod.gps&amp;w=408&amp;h=240&amp;yaw=227.27391&amp;pitch=0&amp;thumbfov=100", "link")</f>
        <v>link</v>
      </c>
    </row>
    <row r="4627" spans="1:4" x14ac:dyDescent="0.45">
      <c r="A4627" t="s">
        <v>4629</v>
      </c>
      <c r="B4627">
        <v>33.792555100000001</v>
      </c>
      <c r="C4627">
        <v>-117.8551185</v>
      </c>
      <c r="D4627" t="str">
        <f>HYPERLINK("https://streetviewpixels-pa.googleapis.com/v1/thumbnail?panoid=WcXn9Zwc7YyhOt6x9FWpcQ&amp;cb_client=search.gws-prod.gps&amp;w=408&amp;h=240&amp;yaw=83.7862&amp;pitch=0&amp;thumbfov=100", "link")</f>
        <v>link</v>
      </c>
    </row>
    <row r="4628" spans="1:4" x14ac:dyDescent="0.45">
      <c r="A4628" t="s">
        <v>4630</v>
      </c>
      <c r="B4628">
        <v>33.789824600000003</v>
      </c>
      <c r="C4628">
        <v>-117.8577459</v>
      </c>
      <c r="D4628" t="s">
        <v>5</v>
      </c>
    </row>
    <row r="4629" spans="1:4" x14ac:dyDescent="0.45">
      <c r="A4629" t="s">
        <v>4631</v>
      </c>
      <c r="B4629">
        <v>33.785850000000003</v>
      </c>
      <c r="C4629">
        <v>-117.8893272</v>
      </c>
      <c r="D4629" t="str">
        <f>HYPERLINK("https://streetviewpixels-pa.googleapis.com/v1/thumbnail?panoid=69e6kQlgb5a1m_GBsvdoMQ&amp;cb_client=search.gws-prod.gps&amp;w=408&amp;h=240&amp;yaw=71.84225&amp;pitch=0&amp;thumbfov=100", "link")</f>
        <v>link</v>
      </c>
    </row>
    <row r="4630" spans="1:4" x14ac:dyDescent="0.45">
      <c r="A4630" t="s">
        <v>4632</v>
      </c>
      <c r="B4630">
        <v>33.790113099999999</v>
      </c>
      <c r="C4630">
        <v>-117.8570591</v>
      </c>
      <c r="D4630" t="s">
        <v>5</v>
      </c>
    </row>
    <row r="4631" spans="1:4" x14ac:dyDescent="0.45">
      <c r="A4631" t="s">
        <v>4633</v>
      </c>
      <c r="B4631">
        <v>33.786018499999997</v>
      </c>
      <c r="C4631">
        <v>-117.8897278</v>
      </c>
      <c r="D4631" t="str">
        <f>HYPERLINK("https://streetviewpixels-pa.googleapis.com/v1/thumbnail?panoid=69e6kQlgb5a1m_GBsvdoMQ&amp;cb_client=search.gws-prod.gps&amp;w=408&amp;h=240&amp;yaw=71.84225&amp;pitch=0&amp;thumbfov=100", "link")</f>
        <v>link</v>
      </c>
    </row>
    <row r="4632" spans="1:4" x14ac:dyDescent="0.45">
      <c r="A4632" t="s">
        <v>4634</v>
      </c>
      <c r="B4632">
        <v>33.788774099999998</v>
      </c>
      <c r="C4632">
        <v>-117.8580499</v>
      </c>
      <c r="D4632" t="str">
        <f>HYPERLINK("https://streetviewpixels-pa.googleapis.com/v1/thumbnail?panoid=VQc_hWPQg0-08aVOCTtGxw&amp;cb_client=search.gws-prod.gps&amp;w=408&amp;h=240&amp;yaw=291.63623&amp;pitch=0&amp;thumbfov=100", "link")</f>
        <v>link</v>
      </c>
    </row>
    <row r="4633" spans="1:4" x14ac:dyDescent="0.45">
      <c r="A4633" t="s">
        <v>4635</v>
      </c>
      <c r="B4633">
        <v>33.785373399999997</v>
      </c>
      <c r="C4633">
        <v>-117.88940959999999</v>
      </c>
      <c r="D4633" t="str">
        <f>HYPERLINK("https://streetviewpixels-pa.googleapis.com/v1/thumbnail?panoid=hB5XH18z1BnTABvfnhQvMQ&amp;cb_client=search.gws-prod.gps&amp;w=408&amp;h=240&amp;yaw=168.70589&amp;pitch=0&amp;thumbfov=100", "link")</f>
        <v>link</v>
      </c>
    </row>
    <row r="4634" spans="1:4" x14ac:dyDescent="0.45">
      <c r="A4634" t="s">
        <v>4636</v>
      </c>
      <c r="B4634">
        <v>33.805124800000002</v>
      </c>
      <c r="C4634">
        <v>-117.8764812</v>
      </c>
      <c r="D4634" t="str">
        <f>HYPERLINK("https://lh5.googleusercontent.com/p/AF1QipOAq9OyDGVsOLi0DWaw7R8hlJjKs5ej0n5b7vcV=w408-h306-k-no", "link")</f>
        <v>link</v>
      </c>
    </row>
    <row r="4635" spans="1:4" x14ac:dyDescent="0.45">
      <c r="A4635" t="s">
        <v>4637</v>
      </c>
      <c r="B4635">
        <v>33.805011399999998</v>
      </c>
      <c r="C4635">
        <v>-117.8767457</v>
      </c>
      <c r="D4635" t="s">
        <v>5</v>
      </c>
    </row>
    <row r="4636" spans="1:4" x14ac:dyDescent="0.45">
      <c r="A4636" t="s">
        <v>4638</v>
      </c>
      <c r="B4636">
        <v>33.807343199999998</v>
      </c>
      <c r="C4636">
        <v>-117.8783938</v>
      </c>
      <c r="D4636" t="s">
        <v>5</v>
      </c>
    </row>
    <row r="4637" spans="1:4" x14ac:dyDescent="0.45">
      <c r="A4637" t="s">
        <v>4639</v>
      </c>
      <c r="B4637">
        <v>33.801846900000001</v>
      </c>
      <c r="C4637">
        <v>-117.8778444</v>
      </c>
      <c r="D4637" t="s">
        <v>5</v>
      </c>
    </row>
    <row r="4638" spans="1:4" x14ac:dyDescent="0.45">
      <c r="A4638" t="s">
        <v>4640</v>
      </c>
      <c r="B4638">
        <v>33.808630200000003</v>
      </c>
      <c r="C4638">
        <v>-117.8783938</v>
      </c>
      <c r="D4638" t="s">
        <v>5</v>
      </c>
    </row>
    <row r="4639" spans="1:4" x14ac:dyDescent="0.45">
      <c r="A4639" t="s">
        <v>4641</v>
      </c>
      <c r="B4639">
        <v>33.805225200000002</v>
      </c>
      <c r="C4639">
        <v>-117.882285</v>
      </c>
      <c r="D4639" t="s">
        <v>5</v>
      </c>
    </row>
    <row r="4640" spans="1:4" x14ac:dyDescent="0.45">
      <c r="A4640" t="s">
        <v>4642</v>
      </c>
      <c r="B4640">
        <v>33.802982700000001</v>
      </c>
      <c r="C4640">
        <v>-117.8671485</v>
      </c>
      <c r="D4640" t="str">
        <f>HYPERLINK("https://lh5.googleusercontent.com/p/AF1QipNto8o3uxJ43kABGbL-A1Vy2r53UZ7L75QLjYr4=w408-h544-k-no", "link")</f>
        <v>link</v>
      </c>
    </row>
    <row r="4641" spans="1:4" x14ac:dyDescent="0.45">
      <c r="A4641" t="s">
        <v>4643</v>
      </c>
      <c r="B4641">
        <v>33.804656299999998</v>
      </c>
      <c r="C4641">
        <v>-117.8865467</v>
      </c>
      <c r="D4641" t="str">
        <f>HYPERLINK("https://streetviewpixels-pa.googleapis.com/v1/thumbnail?panoid=pvWwyybaM_4LNGX-5AGajw&amp;cb_client=search.gws-prod.gps&amp;w=408&amp;h=240&amp;yaw=41.009975&amp;pitch=0&amp;thumbfov=100", "link")</f>
        <v>link</v>
      </c>
    </row>
    <row r="4642" spans="1:4" x14ac:dyDescent="0.45">
      <c r="A4642" t="s">
        <v>4644</v>
      </c>
      <c r="B4642">
        <v>33.800582900000002</v>
      </c>
      <c r="C4642">
        <v>-117.884986</v>
      </c>
      <c r="D4642" t="s">
        <v>5</v>
      </c>
    </row>
    <row r="4643" spans="1:4" x14ac:dyDescent="0.45">
      <c r="A4643" t="s">
        <v>4645</v>
      </c>
      <c r="B4643">
        <v>33.799947999999901</v>
      </c>
      <c r="C4643">
        <v>-117.8866663</v>
      </c>
      <c r="D4643" t="str">
        <f>HYPERLINK("https://lh5.googleusercontent.com/p/AF1QipMRphpd-T9UvGEiHFZicUt0-wm_nHs4wtBidy01=w408-h306-k-no", "link")</f>
        <v>link</v>
      </c>
    </row>
    <row r="4644" spans="1:4" x14ac:dyDescent="0.45">
      <c r="A4644" t="s">
        <v>4646</v>
      </c>
      <c r="B4644">
        <v>33.800688899999997</v>
      </c>
      <c r="C4644">
        <v>-117.8871833</v>
      </c>
      <c r="D4644" t="s">
        <v>5</v>
      </c>
    </row>
    <row r="4645" spans="1:4" x14ac:dyDescent="0.45">
      <c r="A4645" t="s">
        <v>4647</v>
      </c>
      <c r="B4645">
        <v>33.804921899999897</v>
      </c>
      <c r="C4645">
        <v>-117.8887855</v>
      </c>
      <c r="D4645" t="str">
        <f>HYPERLINK("https://streetviewpixels-pa.googleapis.com/v1/thumbnail?panoid=_2nfUp1phyZk0icZ_dzAdQ&amp;cb_client=search.gws-prod.gps&amp;w=408&amp;h=240&amp;yaw=344.397&amp;pitch=0&amp;thumbfov=100", "link")</f>
        <v>link</v>
      </c>
    </row>
    <row r="4646" spans="1:4" x14ac:dyDescent="0.45">
      <c r="A4646" t="s">
        <v>4648</v>
      </c>
      <c r="B4646">
        <v>33.797017099999998</v>
      </c>
      <c r="C4646">
        <v>-117.8844366</v>
      </c>
      <c r="D4646" t="s">
        <v>5</v>
      </c>
    </row>
    <row r="4647" spans="1:4" x14ac:dyDescent="0.45">
      <c r="A4647" t="s">
        <v>4649</v>
      </c>
      <c r="B4647">
        <v>33.819935200000003</v>
      </c>
      <c r="C4647">
        <v>-117.8712029</v>
      </c>
      <c r="D4647" t="s">
        <v>5</v>
      </c>
    </row>
    <row r="4648" spans="1:4" x14ac:dyDescent="0.45">
      <c r="A4648" t="s">
        <v>4650</v>
      </c>
      <c r="B4648">
        <v>33.794305000000001</v>
      </c>
      <c r="C4648">
        <v>-117.891036</v>
      </c>
      <c r="D4648" t="str">
        <f>HYPERLINK("https://streetviewpixels-pa.googleapis.com/v1/thumbnail?panoid=VPbVCjrCsOVFNJZ8S63FxQ&amp;cb_client=search.gws-prod.gps&amp;w=408&amp;h=240&amp;yaw=193.30978&amp;pitch=0&amp;thumbfov=100", "link")</f>
        <v>link</v>
      </c>
    </row>
    <row r="4649" spans="1:4" x14ac:dyDescent="0.45">
      <c r="A4649" t="s">
        <v>4651</v>
      </c>
      <c r="B4649">
        <v>33.794362900000003</v>
      </c>
      <c r="C4649">
        <v>-117.89166950000001</v>
      </c>
      <c r="D4649" t="s">
        <v>5</v>
      </c>
    </row>
    <row r="4650" spans="1:4" x14ac:dyDescent="0.45">
      <c r="A4650" t="s">
        <v>4652</v>
      </c>
      <c r="B4650">
        <v>33.788511399999997</v>
      </c>
      <c r="C4650">
        <v>-117.8768803</v>
      </c>
      <c r="D4650" t="str">
        <f>HYPERLINK("https://streetviewpixels-pa.googleapis.com/v1/thumbnail?panoid=lNo5sBTRN0aXrAVDude8oQ&amp;cb_client=search.gws-prod.gps&amp;w=408&amp;h=240&amp;yaw=62.637856&amp;pitch=0&amp;thumbfov=100", "link")</f>
        <v>link</v>
      </c>
    </row>
    <row r="4651" spans="1:4" x14ac:dyDescent="0.45">
      <c r="A4651" t="s">
        <v>4653</v>
      </c>
      <c r="B4651">
        <v>33.801883699999898</v>
      </c>
      <c r="C4651">
        <v>-117.8973057</v>
      </c>
      <c r="D4651" t="str">
        <f>HYPERLINK("https://streetviewpixels-pa.googleapis.com/v1/thumbnail?panoid=efMSytGwuuAAlr04sbHJCg&amp;cb_client=search.gws-prod.gps&amp;w=408&amp;h=240&amp;yaw=196.03142&amp;pitch=0&amp;thumbfov=100", "link")</f>
        <v>link</v>
      </c>
    </row>
    <row r="4652" spans="1:4" x14ac:dyDescent="0.45">
      <c r="A4652" t="s">
        <v>4654</v>
      </c>
      <c r="B4652">
        <v>33.787619499999998</v>
      </c>
      <c r="C4652">
        <v>-117.8726273</v>
      </c>
      <c r="D4652" t="s">
        <v>5</v>
      </c>
    </row>
    <row r="4653" spans="1:4" x14ac:dyDescent="0.45">
      <c r="A4653" t="s">
        <v>4655</v>
      </c>
      <c r="B4653">
        <v>33.787401099999897</v>
      </c>
      <c r="C4653">
        <v>-117.8737769</v>
      </c>
      <c r="D4653" t="str">
        <f>HYPERLINK("https://streetviewpixels-pa.googleapis.com/v1/thumbnail?panoid=80yhtE7UvS5jttVlmxUKxQ&amp;cb_client=search.gws-prod.gps&amp;w=408&amp;h=240&amp;yaw=273.2933&amp;pitch=0&amp;thumbfov=100", "link")</f>
        <v>link</v>
      </c>
    </row>
    <row r="4654" spans="1:4" x14ac:dyDescent="0.45">
      <c r="A4654" t="s">
        <v>4656</v>
      </c>
      <c r="B4654">
        <v>33.787992699999997</v>
      </c>
      <c r="C4654">
        <v>-117.8941753</v>
      </c>
      <c r="D4654" t="s">
        <v>5</v>
      </c>
    </row>
    <row r="4655" spans="1:4" x14ac:dyDescent="0.45">
      <c r="A4655" t="s">
        <v>4657</v>
      </c>
      <c r="B4655">
        <v>33.785453199999999</v>
      </c>
      <c r="C4655">
        <v>-117.88976049999999</v>
      </c>
      <c r="D4655" t="str">
        <f>HYPERLINK("https://streetviewpixels-pa.googleapis.com/v1/thumbnail?panoid=hB5XH18z1BnTABvfnhQvMQ&amp;cb_client=search.gws-prod.gps&amp;w=408&amp;h=240&amp;yaw=168.70589&amp;pitch=0&amp;thumbfov=100", "link")</f>
        <v>link</v>
      </c>
    </row>
    <row r="4656" spans="1:4" x14ac:dyDescent="0.45">
      <c r="A4656" t="s">
        <v>4658</v>
      </c>
      <c r="B4656">
        <v>33.788032200000004</v>
      </c>
      <c r="C4656">
        <v>-117.8986041</v>
      </c>
      <c r="D4656" t="s">
        <v>5</v>
      </c>
    </row>
    <row r="4657" spans="1:4" x14ac:dyDescent="0.45">
      <c r="A4657" t="s">
        <v>4659</v>
      </c>
      <c r="B4657">
        <v>33.784603599999897</v>
      </c>
      <c r="C4657">
        <v>-117.8894722</v>
      </c>
      <c r="D4657" t="str">
        <f>HYPERLINK("https://streetviewpixels-pa.googleapis.com/v1/thumbnail?panoid=dbzQ-6A0sBnghBPfsFZ7IA&amp;cb_client=search.gws-prod.gps&amp;w=408&amp;h=240&amp;yaw=359.98346&amp;pitch=0&amp;thumbfov=100", "link")</f>
        <v>link</v>
      </c>
    </row>
    <row r="4658" spans="1:4" x14ac:dyDescent="0.45">
      <c r="A4658" t="s">
        <v>4660</v>
      </c>
      <c r="B4658">
        <v>33.786475899999999</v>
      </c>
      <c r="C4658">
        <v>-117.8981795</v>
      </c>
      <c r="D4658" t="str">
        <f>HYPERLINK("https://lh5.googleusercontent.com/p/AF1QipNqfcWVqi-DBvzWK92F870RP9DL5Ptygs_KuCRy=w408-h306-k-no", "link")</f>
        <v>link</v>
      </c>
    </row>
    <row r="4659" spans="1:4" x14ac:dyDescent="0.45">
      <c r="A4659" t="s">
        <v>4661</v>
      </c>
      <c r="B4659">
        <v>33.786417700000001</v>
      </c>
      <c r="C4659">
        <v>-117.8981696</v>
      </c>
      <c r="D4659" t="str">
        <f>HYPERLINK("https://lh5.googleusercontent.com/p/AF1QipNqfcWVqi-DBvzWK92F870RP9DL5Ptygs_KuCRy=w408-h306-k-no", "link")</f>
        <v>link</v>
      </c>
    </row>
    <row r="4660" spans="1:4" x14ac:dyDescent="0.45">
      <c r="A4660" t="s">
        <v>4662</v>
      </c>
      <c r="B4660">
        <v>33.785822000000003</v>
      </c>
      <c r="C4660">
        <v>-117.9002753</v>
      </c>
      <c r="D4660" t="s">
        <v>5</v>
      </c>
    </row>
    <row r="4661" spans="1:4" x14ac:dyDescent="0.45">
      <c r="A4661" t="s">
        <v>4663</v>
      </c>
      <c r="B4661">
        <v>33.931736700000002</v>
      </c>
      <c r="C4661">
        <v>-117.92976539999999</v>
      </c>
      <c r="D4661" t="str">
        <f>HYPERLINK("https://streetviewpixels-pa.googleapis.com/v1/thumbnail?panoid=vt3EM7cGS7qQ1FXVB7Jcag&amp;cb_client=search.gws-prod.gps&amp;w=408&amp;h=240&amp;yaw=36.593185&amp;pitch=0&amp;thumbfov=100", "link")</f>
        <v>link</v>
      </c>
    </row>
    <row r="4662" spans="1:4" x14ac:dyDescent="0.45">
      <c r="A4662" t="s">
        <v>4664</v>
      </c>
      <c r="B4662">
        <v>33.895390900000002</v>
      </c>
      <c r="C4662">
        <v>-117.926073</v>
      </c>
      <c r="D4662" t="s">
        <v>5</v>
      </c>
    </row>
    <row r="4663" spans="1:4" x14ac:dyDescent="0.45">
      <c r="A4663" t="s">
        <v>4665</v>
      </c>
      <c r="B4663">
        <v>33.887464999999999</v>
      </c>
      <c r="C4663">
        <v>-117.8972541</v>
      </c>
      <c r="D4663" t="s">
        <v>5</v>
      </c>
    </row>
    <row r="4664" spans="1:4" x14ac:dyDescent="0.45">
      <c r="A4664" t="s">
        <v>4666</v>
      </c>
      <c r="B4664">
        <v>33.906219700000001</v>
      </c>
      <c r="C4664">
        <v>-117.93821819999999</v>
      </c>
      <c r="D4664" t="s">
        <v>5</v>
      </c>
    </row>
    <row r="4665" spans="1:4" x14ac:dyDescent="0.45">
      <c r="A4665" t="s">
        <v>4667</v>
      </c>
      <c r="B4665">
        <v>33.903756299999998</v>
      </c>
      <c r="C4665">
        <v>-117.8675665</v>
      </c>
      <c r="D4665" t="s">
        <v>5</v>
      </c>
    </row>
    <row r="4666" spans="1:4" x14ac:dyDescent="0.45">
      <c r="A4666" t="s">
        <v>4668</v>
      </c>
      <c r="B4666">
        <v>33.888525600000001</v>
      </c>
      <c r="C4666">
        <v>-117.8889934</v>
      </c>
      <c r="D4666" t="str">
        <f>HYPERLINK("https://streetviewpixels-pa.googleapis.com/v1/thumbnail?panoid=botoryvhXiQiG_wUw2KSLg&amp;cb_client=search.gws-prod.gps&amp;w=408&amp;h=240&amp;yaw=334.14737&amp;pitch=0&amp;thumbfov=100", "link")</f>
        <v>link</v>
      </c>
    </row>
    <row r="4667" spans="1:4" x14ac:dyDescent="0.45">
      <c r="A4667" t="s">
        <v>4669</v>
      </c>
      <c r="B4667">
        <v>33.905227400000001</v>
      </c>
      <c r="C4667">
        <v>-117.8663991</v>
      </c>
      <c r="D4667" t="s">
        <v>5</v>
      </c>
    </row>
    <row r="4668" spans="1:4" x14ac:dyDescent="0.45">
      <c r="A4668" t="s">
        <v>4670</v>
      </c>
      <c r="B4668">
        <v>33.916878500000003</v>
      </c>
      <c r="C4668">
        <v>-117.8624617</v>
      </c>
      <c r="D4668" t="s">
        <v>5</v>
      </c>
    </row>
    <row r="4669" spans="1:4" x14ac:dyDescent="0.45">
      <c r="A4669" t="s">
        <v>4671</v>
      </c>
      <c r="B4669">
        <v>33.887805499999999</v>
      </c>
      <c r="C4669">
        <v>-117.88864820000001</v>
      </c>
      <c r="D4669" t="s">
        <v>5</v>
      </c>
    </row>
    <row r="4670" spans="1:4" x14ac:dyDescent="0.45">
      <c r="A4670" t="s">
        <v>4672</v>
      </c>
      <c r="B4670">
        <v>33.888439499999997</v>
      </c>
      <c r="C4670">
        <v>-117.8864483</v>
      </c>
      <c r="D4670" t="str">
        <f>HYPERLINK("https://lh5.googleusercontent.com/p/AF1QipMKUSCtUD7JIlT5A35GrWstvRzBRbd3Eh9x5ekg=w408-h272-k-no", "link")</f>
        <v>link</v>
      </c>
    </row>
    <row r="4671" spans="1:4" x14ac:dyDescent="0.45">
      <c r="A4671" t="s">
        <v>4673</v>
      </c>
      <c r="B4671">
        <v>33.888323800000002</v>
      </c>
      <c r="C4671">
        <v>-117.88655919999999</v>
      </c>
      <c r="D4671" t="str">
        <f>HYPERLINK("https://lh5.googleusercontent.com/p/AF1QipMKUSCtUD7JIlT5A35GrWstvRzBRbd3Eh9x5ekg=w408-h272-k-no", "link")</f>
        <v>link</v>
      </c>
    </row>
    <row r="4672" spans="1:4" x14ac:dyDescent="0.45">
      <c r="A4672" t="s">
        <v>4674</v>
      </c>
      <c r="B4672">
        <v>33.902110299999997</v>
      </c>
      <c r="C4672">
        <v>-117.86731469999999</v>
      </c>
      <c r="D4672" t="s">
        <v>5</v>
      </c>
    </row>
    <row r="4673" spans="1:4" x14ac:dyDescent="0.45">
      <c r="A4673" t="s">
        <v>4675</v>
      </c>
      <c r="B4673">
        <v>33.887337600000002</v>
      </c>
      <c r="C4673">
        <v>-117.8890469</v>
      </c>
      <c r="D4673" t="str">
        <f>HYPERLINK("https://streetviewpixels-pa.googleapis.com/v1/thumbnail?panoid=uznKNPcdjpW6Bng4a8H0OA&amp;cb_client=search.gws-prod.gps&amp;w=408&amp;h=240&amp;yaw=266.73566&amp;pitch=0&amp;thumbfov=100", "link")</f>
        <v>link</v>
      </c>
    </row>
    <row r="4674" spans="1:4" x14ac:dyDescent="0.45">
      <c r="A4674" t="s">
        <v>4676</v>
      </c>
      <c r="B4674">
        <v>33.887312700000003</v>
      </c>
      <c r="C4674">
        <v>-117.88879799999999</v>
      </c>
      <c r="D4674" t="str">
        <f>HYPERLINK("https://streetviewpixels-pa.googleapis.com/v1/thumbnail?panoid=uznKNPcdjpW6Bng4a8H0OA&amp;cb_client=search.gws-prod.gps&amp;w=408&amp;h=240&amp;yaw=266.73566&amp;pitch=0&amp;thumbfov=100", "link")</f>
        <v>link</v>
      </c>
    </row>
    <row r="4675" spans="1:4" x14ac:dyDescent="0.45">
      <c r="A4675" t="s">
        <v>4677</v>
      </c>
      <c r="B4675">
        <v>33.900272299999997</v>
      </c>
      <c r="C4675">
        <v>-117.868093</v>
      </c>
      <c r="D4675" t="s">
        <v>5</v>
      </c>
    </row>
    <row r="4676" spans="1:4" x14ac:dyDescent="0.45">
      <c r="A4676" t="s">
        <v>4678</v>
      </c>
      <c r="B4676">
        <v>33.893964500000003</v>
      </c>
      <c r="C4676">
        <v>-117.9300406</v>
      </c>
      <c r="D4676" t="str">
        <f>HYPERLINK("https://streetviewpixels-pa.googleapis.com/v1/thumbnail?panoid=HV6s_h0DlRoQ5H_JiYg18w&amp;cb_client=search.gws-prod.gps&amp;w=408&amp;h=240&amp;yaw=87.74669&amp;pitch=0&amp;thumbfov=100", "link")</f>
        <v>link</v>
      </c>
    </row>
    <row r="4677" spans="1:4" x14ac:dyDescent="0.45">
      <c r="A4677" t="s">
        <v>4679</v>
      </c>
      <c r="B4677">
        <v>33.888018500000001</v>
      </c>
      <c r="C4677">
        <v>-117.8851892</v>
      </c>
      <c r="D4677" t="s">
        <v>5</v>
      </c>
    </row>
    <row r="4678" spans="1:4" x14ac:dyDescent="0.45">
      <c r="A4678" t="s">
        <v>4680</v>
      </c>
      <c r="B4678">
        <v>33.8942452</v>
      </c>
      <c r="C4678">
        <v>-117.93071260000001</v>
      </c>
      <c r="D4678" t="str">
        <f>HYPERLINK("https://streetviewpixels-pa.googleapis.com/v1/thumbnail?panoid=VPoUrT_80GzN_bwjKqDdrQ&amp;cb_client=search.gws-prod.gps&amp;w=408&amp;h=240&amp;yaw=106.17669&amp;pitch=0&amp;thumbfov=100", "link")</f>
        <v>link</v>
      </c>
    </row>
    <row r="4679" spans="1:4" x14ac:dyDescent="0.45">
      <c r="A4679" t="s">
        <v>4681</v>
      </c>
      <c r="B4679">
        <v>33.917969599999999</v>
      </c>
      <c r="C4679">
        <v>-117.8606303</v>
      </c>
      <c r="D4679" t="s">
        <v>5</v>
      </c>
    </row>
    <row r="4680" spans="1:4" x14ac:dyDescent="0.45">
      <c r="A4680" t="s">
        <v>4682</v>
      </c>
      <c r="B4680">
        <v>33.902131599999997</v>
      </c>
      <c r="C4680">
        <v>-117.86607859999999</v>
      </c>
      <c r="D4680" t="s">
        <v>5</v>
      </c>
    </row>
    <row r="4681" spans="1:4" x14ac:dyDescent="0.45">
      <c r="A4681" t="s">
        <v>4683</v>
      </c>
      <c r="B4681">
        <v>33.919343599999998</v>
      </c>
      <c r="C4681">
        <v>-117.9022008</v>
      </c>
      <c r="D4681" t="str">
        <f>HYPERLINK("https://streetviewpixels-pa.googleapis.com/v1/thumbnail?panoid=2mHQz9ZsRdosfuMu4I9Z3w&amp;cb_client=search.gws-prod.gps&amp;w=408&amp;h=240&amp;yaw=14.676333&amp;pitch=0&amp;thumbfov=100", "link")</f>
        <v>link</v>
      </c>
    </row>
    <row r="4682" spans="1:4" x14ac:dyDescent="0.45">
      <c r="A4682" t="s">
        <v>4684</v>
      </c>
      <c r="B4682">
        <v>33.920087899999999</v>
      </c>
      <c r="C4682">
        <v>-117.89943</v>
      </c>
      <c r="D4682" t="str">
        <f>HYPERLINK("https://lh5.googleusercontent.com/p/AF1QipP7ylyuP_3hsWPilKaRKnEeZK2QtH8zhZkCBhkH=w408-h240-k-no-pi-6.9823456-ya42.291958-ro-2.6569512-fo100", "link")</f>
        <v>link</v>
      </c>
    </row>
    <row r="4683" spans="1:4" x14ac:dyDescent="0.45">
      <c r="A4683" t="s">
        <v>4685</v>
      </c>
      <c r="B4683">
        <v>33.920000299999998</v>
      </c>
      <c r="C4683">
        <v>-117.8943245</v>
      </c>
      <c r="D4683" t="s">
        <v>5</v>
      </c>
    </row>
    <row r="4684" spans="1:4" x14ac:dyDescent="0.45">
      <c r="A4684" t="s">
        <v>4686</v>
      </c>
      <c r="B4684">
        <v>33.916451199999997</v>
      </c>
      <c r="C4684">
        <v>-117.891761</v>
      </c>
      <c r="D4684" t="s">
        <v>5</v>
      </c>
    </row>
    <row r="4685" spans="1:4" x14ac:dyDescent="0.45">
      <c r="A4685" t="s">
        <v>4687</v>
      </c>
      <c r="B4685">
        <v>33.917095499999903</v>
      </c>
      <c r="C4685">
        <v>-117.8886613</v>
      </c>
      <c r="D4685" t="str">
        <f>HYPERLINK("https://streetviewpixels-pa.googleapis.com/v1/thumbnail?panoid=HpkeHO6nlEejOmSDw_fbgw&amp;cb_client=search.gws-prod.gps&amp;w=408&amp;h=240&amp;yaw=160.78316&amp;pitch=0&amp;thumbfov=100", "link")</f>
        <v>link</v>
      </c>
    </row>
    <row r="4686" spans="1:4" x14ac:dyDescent="0.45">
      <c r="A4686" t="s">
        <v>4688</v>
      </c>
      <c r="B4686">
        <v>33.916139399999999</v>
      </c>
      <c r="C4686">
        <v>-117.8888791</v>
      </c>
      <c r="D4686" t="str">
        <f>HYPERLINK("https://streetviewpixels-pa.googleapis.com/v1/thumbnail?panoid=fWPZwi4AN5HuTZr9a5rDFw&amp;cb_client=search.gws-prod.gps&amp;w=408&amp;h=240&amp;yaw=325.3502&amp;pitch=0&amp;thumbfov=100", "link")</f>
        <v>link</v>
      </c>
    </row>
    <row r="4687" spans="1:4" x14ac:dyDescent="0.45">
      <c r="A4687" t="s">
        <v>4689</v>
      </c>
      <c r="B4687">
        <v>33.916448000000003</v>
      </c>
      <c r="C4687">
        <v>-117.88760670000001</v>
      </c>
      <c r="D4687" t="str">
        <f>HYPERLINK("https://streetviewpixels-pa.googleapis.com/v1/thumbnail?panoid=yzsoxo55kI9_PdheM_pzMA&amp;cb_client=search.gws-prod.gps&amp;w=408&amp;h=240&amp;yaw=127.29242&amp;pitch=0&amp;thumbfov=100", "link")</f>
        <v>link</v>
      </c>
    </row>
    <row r="4688" spans="1:4" x14ac:dyDescent="0.45">
      <c r="A4688" t="s">
        <v>4690</v>
      </c>
      <c r="B4688">
        <v>33.910490199999998</v>
      </c>
      <c r="C4688">
        <v>-117.8863518</v>
      </c>
      <c r="D4688" t="str">
        <f>HYPERLINK("https://streetviewpixels-pa.googleapis.com/v1/thumbnail?panoid=K_BbJY1aI2-1PVeQF_kkzw&amp;cb_client=search.gws-prod.gps&amp;w=408&amp;h=240&amp;yaw=199.52188&amp;pitch=0&amp;thumbfov=100", "link")</f>
        <v>link</v>
      </c>
    </row>
    <row r="4689" spans="1:4" x14ac:dyDescent="0.45">
      <c r="A4689" t="s">
        <v>4691</v>
      </c>
      <c r="B4689">
        <v>33.903156299999999</v>
      </c>
      <c r="C4689">
        <v>-117.9057236</v>
      </c>
      <c r="D4689" t="s">
        <v>5</v>
      </c>
    </row>
    <row r="4690" spans="1:4" x14ac:dyDescent="0.45">
      <c r="A4690" t="s">
        <v>4692</v>
      </c>
      <c r="B4690">
        <v>33.903372699999998</v>
      </c>
      <c r="C4690">
        <v>-117.9077475</v>
      </c>
      <c r="D4690" t="str">
        <f>HYPERLINK("https://lh5.googleusercontent.com/p/AF1QipNDUPbpGA6SqJMsh2EMy9sVJDDdgxSscpN0ndba=w408-h544-k-no", "link")</f>
        <v>link</v>
      </c>
    </row>
    <row r="4691" spans="1:4" x14ac:dyDescent="0.45">
      <c r="A4691" t="s">
        <v>4693</v>
      </c>
      <c r="B4691">
        <v>33.902791000000001</v>
      </c>
      <c r="C4691">
        <v>-117.90850159999999</v>
      </c>
      <c r="D4691" t="str">
        <f>HYPERLINK("https://lh5.googleusercontent.com/p/AF1QipOsbabsPHmMkWPZt-_84g91-9l2Eo-k6lnJCWEA=w408-h306-k-no", "link")</f>
        <v>link</v>
      </c>
    </row>
    <row r="4692" spans="1:4" x14ac:dyDescent="0.45">
      <c r="A4692" t="s">
        <v>4694</v>
      </c>
      <c r="B4692">
        <v>33.925292900000002</v>
      </c>
      <c r="C4692">
        <v>-117.8816473</v>
      </c>
      <c r="D4692" t="str">
        <f>HYPERLINK("https://streetviewpixels-pa.googleapis.com/v1/thumbnail?panoid=bxPj5yBe9zTZ3ax8iFiWCQ&amp;cb_client=search.gws-prod.gps&amp;w=408&amp;h=240&amp;yaw=268.05463&amp;pitch=0&amp;thumbfov=100", "link")</f>
        <v>link</v>
      </c>
    </row>
    <row r="4693" spans="1:4" x14ac:dyDescent="0.45">
      <c r="A4693" t="s">
        <v>4695</v>
      </c>
      <c r="B4693">
        <v>33.925502799999997</v>
      </c>
      <c r="C4693">
        <v>-117.8814745</v>
      </c>
      <c r="D4693" t="s">
        <v>5</v>
      </c>
    </row>
    <row r="4694" spans="1:4" x14ac:dyDescent="0.45">
      <c r="A4694" t="s">
        <v>4696</v>
      </c>
      <c r="B4694">
        <v>33.901229099999902</v>
      </c>
      <c r="C4694">
        <v>-117.90882449999999</v>
      </c>
      <c r="D4694" t="s">
        <v>5</v>
      </c>
    </row>
    <row r="4695" spans="1:4" x14ac:dyDescent="0.45">
      <c r="A4695" t="s">
        <v>4697</v>
      </c>
      <c r="B4695">
        <v>33.900984299999998</v>
      </c>
      <c r="C4695">
        <v>-117.90897219999999</v>
      </c>
      <c r="D4695" t="s">
        <v>5</v>
      </c>
    </row>
    <row r="4696" spans="1:4" x14ac:dyDescent="0.45">
      <c r="A4696" t="s">
        <v>4698</v>
      </c>
      <c r="B4696">
        <v>33.900372599999997</v>
      </c>
      <c r="C4696">
        <v>-117.9098242</v>
      </c>
      <c r="D4696" t="s">
        <v>5</v>
      </c>
    </row>
    <row r="4697" spans="1:4" x14ac:dyDescent="0.45">
      <c r="A4697" t="s">
        <v>4699</v>
      </c>
      <c r="B4697">
        <v>33.919910399999999</v>
      </c>
      <c r="C4697">
        <v>-117.9264563</v>
      </c>
      <c r="D4697" t="s">
        <v>5</v>
      </c>
    </row>
    <row r="4698" spans="1:4" x14ac:dyDescent="0.45">
      <c r="A4698" t="s">
        <v>4700</v>
      </c>
      <c r="B4698">
        <v>33.917564800000001</v>
      </c>
      <c r="C4698">
        <v>-117.8757385</v>
      </c>
      <c r="D4698" t="s">
        <v>5</v>
      </c>
    </row>
    <row r="4699" spans="1:4" x14ac:dyDescent="0.45">
      <c r="A4699" t="s">
        <v>4701</v>
      </c>
      <c r="B4699">
        <v>33.919272599999999</v>
      </c>
      <c r="C4699">
        <v>-117.8733579</v>
      </c>
      <c r="D4699" t="s">
        <v>5</v>
      </c>
    </row>
    <row r="4700" spans="1:4" x14ac:dyDescent="0.45">
      <c r="A4700" t="s">
        <v>4702</v>
      </c>
      <c r="B4700">
        <v>33.886969499999999</v>
      </c>
      <c r="C4700">
        <v>-117.8620663</v>
      </c>
      <c r="D4700" t="str">
        <f>HYPERLINK("https://streetviewpixels-pa.googleapis.com/v1/thumbnail?panoid=KITP14R5qYKeU_WNuyFMTw&amp;cb_client=search.gws-prod.gps&amp;w=408&amp;h=240&amp;yaw=141.20815&amp;pitch=0&amp;thumbfov=100", "link")</f>
        <v>link</v>
      </c>
    </row>
    <row r="4701" spans="1:4" x14ac:dyDescent="0.45">
      <c r="A4701" t="s">
        <v>4703</v>
      </c>
      <c r="B4701">
        <v>33.882642799999999</v>
      </c>
      <c r="C4701">
        <v>-117.8815068</v>
      </c>
      <c r="D4701" t="s">
        <v>5</v>
      </c>
    </row>
    <row r="4702" spans="1:4" x14ac:dyDescent="0.45">
      <c r="A4702" t="s">
        <v>4704</v>
      </c>
      <c r="B4702">
        <v>33.883895299999999</v>
      </c>
      <c r="C4702">
        <v>-117.8836063</v>
      </c>
      <c r="D4702" t="s">
        <v>5</v>
      </c>
    </row>
    <row r="4703" spans="1:4" x14ac:dyDescent="0.45">
      <c r="A4703" t="s">
        <v>4705</v>
      </c>
      <c r="B4703">
        <v>33.882013600000001</v>
      </c>
      <c r="C4703">
        <v>-117.8815738</v>
      </c>
      <c r="D4703" t="s">
        <v>5</v>
      </c>
    </row>
    <row r="4704" spans="1:4" x14ac:dyDescent="0.45">
      <c r="A4704" t="s">
        <v>4706</v>
      </c>
      <c r="B4704">
        <v>33.918871899999999</v>
      </c>
      <c r="C4704">
        <v>-117.8373022</v>
      </c>
      <c r="D4704" t="s">
        <v>5</v>
      </c>
    </row>
    <row r="4705" spans="1:4" x14ac:dyDescent="0.45">
      <c r="A4705" t="s">
        <v>4707</v>
      </c>
      <c r="B4705">
        <v>33.920528099999899</v>
      </c>
      <c r="C4705">
        <v>-117.82747759999999</v>
      </c>
      <c r="D4705" t="str">
        <f>HYPERLINK("https://lh5.googleusercontent.com/p/AF1QipPVEhl0GGTnqkBElZuY-_w9LI9E3j5YGbpx_A3w=w408-h544-k-no", "link")</f>
        <v>link</v>
      </c>
    </row>
    <row r="4706" spans="1:4" x14ac:dyDescent="0.45">
      <c r="A4706" t="s">
        <v>4708</v>
      </c>
      <c r="B4706">
        <v>33.881409300000001</v>
      </c>
      <c r="C4706">
        <v>-117.8826055</v>
      </c>
      <c r="D4706" t="s">
        <v>5</v>
      </c>
    </row>
    <row r="4707" spans="1:4" x14ac:dyDescent="0.45">
      <c r="A4707" t="s">
        <v>4709</v>
      </c>
      <c r="B4707">
        <v>33.840380099999997</v>
      </c>
      <c r="C4707">
        <v>-118.00067610000001</v>
      </c>
      <c r="D4707" t="s">
        <v>5</v>
      </c>
    </row>
    <row r="4708" spans="1:4" x14ac:dyDescent="0.45">
      <c r="A4708" t="s">
        <v>4710</v>
      </c>
      <c r="B4708">
        <v>33.818327699999998</v>
      </c>
      <c r="C4708">
        <v>-117.9851209</v>
      </c>
      <c r="D4708" t="s">
        <v>5</v>
      </c>
    </row>
    <row r="4709" spans="1:4" x14ac:dyDescent="0.45">
      <c r="A4709" t="s">
        <v>4711</v>
      </c>
      <c r="B4709">
        <v>33.802427999999999</v>
      </c>
      <c r="C4709">
        <v>-118.00069430000001</v>
      </c>
      <c r="D4709" t="s">
        <v>5</v>
      </c>
    </row>
    <row r="4710" spans="1:4" x14ac:dyDescent="0.45">
      <c r="A4710" t="s">
        <v>4712</v>
      </c>
      <c r="B4710">
        <v>33.799501300000003</v>
      </c>
      <c r="C4710">
        <v>-117.99271570000001</v>
      </c>
      <c r="D4710" t="s">
        <v>5</v>
      </c>
    </row>
    <row r="4711" spans="1:4" x14ac:dyDescent="0.45">
      <c r="A4711" t="s">
        <v>4713</v>
      </c>
      <c r="B4711">
        <v>33.824862000000003</v>
      </c>
      <c r="C4711">
        <v>-118.00561690000001</v>
      </c>
      <c r="D4711" t="s">
        <v>5</v>
      </c>
    </row>
    <row r="4712" spans="1:4" x14ac:dyDescent="0.45">
      <c r="A4712" t="s">
        <v>4714</v>
      </c>
      <c r="B4712">
        <v>33.869045</v>
      </c>
      <c r="C4712">
        <v>-117.924997</v>
      </c>
      <c r="D4712" t="str">
        <f>HYPERLINK("https://lh5.googleusercontent.com/p/AF1QipM9T58mmF0DH9uOcXHVi0VT7k0wN2ijIQb6Z3LI=w408-h306-k-no", "link")</f>
        <v>link</v>
      </c>
    </row>
    <row r="4713" spans="1:4" x14ac:dyDescent="0.45">
      <c r="A4713" t="s">
        <v>4715</v>
      </c>
      <c r="B4713">
        <v>33.871156800000001</v>
      </c>
      <c r="C4713">
        <v>-117.9255333</v>
      </c>
      <c r="D4713" t="s">
        <v>5</v>
      </c>
    </row>
    <row r="4714" spans="1:4" x14ac:dyDescent="0.45">
      <c r="A4714" t="s">
        <v>4716</v>
      </c>
      <c r="B4714">
        <v>33.872806300000001</v>
      </c>
      <c r="C4714">
        <v>-117.9259071</v>
      </c>
      <c r="D4714" t="s">
        <v>5</v>
      </c>
    </row>
    <row r="4715" spans="1:4" x14ac:dyDescent="0.45">
      <c r="A4715" t="s">
        <v>4717</v>
      </c>
      <c r="B4715">
        <v>33.8715683</v>
      </c>
      <c r="C4715">
        <v>-117.92535549999999</v>
      </c>
      <c r="D4715" t="s">
        <v>5</v>
      </c>
    </row>
    <row r="4716" spans="1:4" x14ac:dyDescent="0.45">
      <c r="A4716" t="s">
        <v>4718</v>
      </c>
      <c r="B4716">
        <v>33.870461400000003</v>
      </c>
      <c r="C4716">
        <v>-117.9246069</v>
      </c>
      <c r="D4716" t="str">
        <f>HYPERLINK("https://streetviewpixels-pa.googleapis.com/v1/thumbnail?panoid=In5eT_lfDqwDwJwGuejzMg&amp;cb_client=search.gws-prod.gps&amp;w=408&amp;h=240&amp;yaw=302.78265&amp;pitch=0&amp;thumbfov=100", "link")</f>
        <v>link</v>
      </c>
    </row>
    <row r="4717" spans="1:4" x14ac:dyDescent="0.45">
      <c r="A4717" t="s">
        <v>4719</v>
      </c>
      <c r="B4717">
        <v>33.868417700000002</v>
      </c>
      <c r="C4717">
        <v>-117.92328620000001</v>
      </c>
      <c r="D4717" t="s">
        <v>5</v>
      </c>
    </row>
    <row r="4718" spans="1:4" x14ac:dyDescent="0.45">
      <c r="A4718" t="s">
        <v>4720</v>
      </c>
      <c r="B4718">
        <v>33.874299899999997</v>
      </c>
      <c r="C4718">
        <v>-117.9252334</v>
      </c>
      <c r="D4718" t="s">
        <v>5</v>
      </c>
    </row>
    <row r="4719" spans="1:4" x14ac:dyDescent="0.45">
      <c r="A4719" t="s">
        <v>4721</v>
      </c>
      <c r="B4719">
        <v>33.8754943</v>
      </c>
      <c r="C4719">
        <v>-117.9159294</v>
      </c>
      <c r="D4719" t="s">
        <v>5</v>
      </c>
    </row>
    <row r="4720" spans="1:4" x14ac:dyDescent="0.45">
      <c r="A4720" t="s">
        <v>4722</v>
      </c>
      <c r="B4720">
        <v>33.460462999999997</v>
      </c>
      <c r="C4720">
        <v>-117.6929578</v>
      </c>
      <c r="D4720" t="s">
        <v>5</v>
      </c>
    </row>
    <row r="4721" spans="1:4" x14ac:dyDescent="0.45">
      <c r="A4721" t="s">
        <v>4723</v>
      </c>
      <c r="B4721">
        <v>33.435421400000003</v>
      </c>
      <c r="C4721">
        <v>-117.61941779999999</v>
      </c>
      <c r="D4721" t="s">
        <v>5</v>
      </c>
    </row>
    <row r="4722" spans="1:4" x14ac:dyDescent="0.45">
      <c r="A4722" t="s">
        <v>4724</v>
      </c>
      <c r="B4722">
        <v>33.4409201</v>
      </c>
      <c r="C4722">
        <v>-117.6168964</v>
      </c>
      <c r="D4722" t="s">
        <v>5</v>
      </c>
    </row>
    <row r="4723" spans="1:4" x14ac:dyDescent="0.45">
      <c r="A4723" t="s">
        <v>4725</v>
      </c>
      <c r="B4723">
        <v>33.439589599999998</v>
      </c>
      <c r="C4723">
        <v>-117.6162087</v>
      </c>
      <c r="D4723" t="s">
        <v>5</v>
      </c>
    </row>
    <row r="4724" spans="1:4" x14ac:dyDescent="0.45">
      <c r="A4724" t="s">
        <v>4726</v>
      </c>
      <c r="B4724">
        <v>33.440119000000003</v>
      </c>
      <c r="C4724">
        <v>-117.6150167</v>
      </c>
      <c r="D4724" t="s">
        <v>5</v>
      </c>
    </row>
    <row r="4725" spans="1:4" x14ac:dyDescent="0.45">
      <c r="A4725" t="s">
        <v>4727</v>
      </c>
      <c r="B4725">
        <v>33.441111399999997</v>
      </c>
      <c r="C4725">
        <v>-117.6144208</v>
      </c>
      <c r="D4725" t="s">
        <v>5</v>
      </c>
    </row>
    <row r="4726" spans="1:4" x14ac:dyDescent="0.45">
      <c r="A4726" t="s">
        <v>4728</v>
      </c>
      <c r="B4726">
        <v>33.405294900000001</v>
      </c>
      <c r="C4726">
        <v>-117.60615749999999</v>
      </c>
      <c r="D4726" t="s">
        <v>5</v>
      </c>
    </row>
    <row r="4727" spans="1:4" x14ac:dyDescent="0.45">
      <c r="A4727" t="s">
        <v>4729</v>
      </c>
      <c r="B4727">
        <v>33.503503799999898</v>
      </c>
      <c r="C4727">
        <v>-117.6482278</v>
      </c>
      <c r="D4727" t="s">
        <v>5</v>
      </c>
    </row>
    <row r="4728" spans="1:4" x14ac:dyDescent="0.45">
      <c r="A4728" t="s">
        <v>4730</v>
      </c>
      <c r="B4728">
        <v>33.519784000000001</v>
      </c>
      <c r="C4728">
        <v>-117.623408</v>
      </c>
      <c r="D4728" t="str">
        <f>HYPERLINK("https://streetviewpixels-pa.googleapis.com/v1/thumbnail?panoid=A9ZT0gIYX9DDDxlm-ucguw&amp;cb_client=search.gws-prod.gps&amp;w=408&amp;h=240&amp;yaw=70.04921&amp;pitch=0&amp;thumbfov=100", "link")</f>
        <v>link</v>
      </c>
    </row>
    <row r="4729" spans="1:4" x14ac:dyDescent="0.45">
      <c r="A4729" t="s">
        <v>4731</v>
      </c>
      <c r="B4729">
        <v>33.601741699999998</v>
      </c>
      <c r="C4729">
        <v>-117.901062</v>
      </c>
      <c r="D4729" t="s">
        <v>5</v>
      </c>
    </row>
    <row r="4730" spans="1:4" x14ac:dyDescent="0.45">
      <c r="A4730" t="s">
        <v>4732</v>
      </c>
      <c r="B4730">
        <v>33.619666299999999</v>
      </c>
      <c r="C4730">
        <v>-117.8732376</v>
      </c>
      <c r="D4730" t="str">
        <f>HYPERLINK("https://streetviewpixels-pa.googleapis.com/v1/thumbnail?panoid=kzrTUFRTFe0zFIg-7VDzsw&amp;cb_client=search.gws-prod.gps&amp;w=408&amp;h=240&amp;yaw=210.34201&amp;pitch=0&amp;thumbfov=100", "link")</f>
        <v>link</v>
      </c>
    </row>
    <row r="4731" spans="1:4" x14ac:dyDescent="0.45">
      <c r="A4731" t="s">
        <v>4733</v>
      </c>
      <c r="B4731">
        <v>33.620083999999999</v>
      </c>
      <c r="C4731">
        <v>-117.8753731</v>
      </c>
      <c r="D4731" t="str">
        <f>HYPERLINK("https://streetviewpixels-pa.googleapis.com/v1/thumbnail?panoid=Dm5qR3bXVWClGB53Usymeg&amp;cb_client=search.gws-prod.gps&amp;w=408&amp;h=240&amp;yaw=211.82509&amp;pitch=0&amp;thumbfov=100", "link")</f>
        <v>link</v>
      </c>
    </row>
    <row r="4732" spans="1:4" x14ac:dyDescent="0.45">
      <c r="A4732" t="s">
        <v>4734</v>
      </c>
      <c r="B4732">
        <v>33.620069999999998</v>
      </c>
      <c r="C4732">
        <v>-117.8739889</v>
      </c>
      <c r="D4732" t="s">
        <v>5</v>
      </c>
    </row>
    <row r="4733" spans="1:4" x14ac:dyDescent="0.45">
      <c r="A4733" t="s">
        <v>4735</v>
      </c>
      <c r="B4733">
        <v>33.611247599999999</v>
      </c>
      <c r="C4733">
        <v>-117.9005051</v>
      </c>
      <c r="D4733" t="str">
        <f>HYPERLINK("https://streetviewpixels-pa.googleapis.com/v1/thumbnail?panoid=-r4lHou5G62otoQremn9PQ&amp;cb_client=search.gws-prod.gps&amp;w=408&amp;h=240&amp;yaw=292.66016&amp;pitch=0&amp;thumbfov=100", "link")</f>
        <v>link</v>
      </c>
    </row>
    <row r="4734" spans="1:4" x14ac:dyDescent="0.45">
      <c r="A4734" t="s">
        <v>4736</v>
      </c>
      <c r="B4734">
        <v>33.620499500000001</v>
      </c>
      <c r="C4734">
        <v>-117.8737612</v>
      </c>
      <c r="D4734" t="str">
        <f>HYPERLINK("https://streetviewpixels-pa.googleapis.com/v1/thumbnail?panoid=kzrTUFRTFe0zFIg-7VDzsw&amp;cb_client=search.gws-prod.gps&amp;w=408&amp;h=240&amp;yaw=210.34201&amp;pitch=0&amp;thumbfov=100", "link")</f>
        <v>link</v>
      </c>
    </row>
    <row r="4735" spans="1:4" x14ac:dyDescent="0.45">
      <c r="A4735" t="s">
        <v>4737</v>
      </c>
      <c r="B4735">
        <v>33.581089400000003</v>
      </c>
      <c r="C4735">
        <v>-117.84861979999999</v>
      </c>
      <c r="D4735" t="str">
        <f>HYPERLINK("https://lh5.googleusercontent.com/p/AF1QipORlDE85PyIwPZ0Wgw5HBpXjtBLyRj_UsuXWIvL=w426-h240-k-no", "link")</f>
        <v>link</v>
      </c>
    </row>
    <row r="4736" spans="1:4" x14ac:dyDescent="0.45">
      <c r="A4736" t="s">
        <v>4738</v>
      </c>
      <c r="B4736">
        <v>33.621221200000001</v>
      </c>
      <c r="C4736">
        <v>-117.875592</v>
      </c>
      <c r="D4736" t="str">
        <f>HYPERLINK("https://streetviewpixels-pa.googleapis.com/v1/thumbnail?panoid=0FU5skzxDEnspBG4DpuD8Q&amp;cb_client=search.gws-prod.gps&amp;w=408&amp;h=240&amp;yaw=322.60504&amp;pitch=0&amp;thumbfov=100", "link")</f>
        <v>link</v>
      </c>
    </row>
    <row r="4737" spans="1:4" x14ac:dyDescent="0.45">
      <c r="A4737" t="s">
        <v>4739</v>
      </c>
      <c r="B4737">
        <v>33.621266200000001</v>
      </c>
      <c r="C4737">
        <v>-117.8775345</v>
      </c>
      <c r="D4737" t="str">
        <f>HYPERLINK("https://streetviewpixels-pa.googleapis.com/v1/thumbnail?panoid=D3p45dnABiLoFfgt0Z8Xiw&amp;cb_client=search.gws-prod.gps&amp;w=408&amp;h=240&amp;yaw=145.88797&amp;pitch=0&amp;thumbfov=100", "link")</f>
        <v>link</v>
      </c>
    </row>
    <row r="4738" spans="1:4" x14ac:dyDescent="0.45">
      <c r="A4738" t="s">
        <v>4740</v>
      </c>
      <c r="B4738">
        <v>33.579523799999897</v>
      </c>
      <c r="C4738">
        <v>-117.84552290000001</v>
      </c>
      <c r="D4738" t="str">
        <f>HYPERLINK("https://lh5.googleusercontent.com/p/AF1QipNidIPAKEUWQ-JjSNHBH0EleOiZG-_QZCwBE9Yq=w408-h544-k-no", "link")</f>
        <v>link</v>
      </c>
    </row>
    <row r="4739" spans="1:4" x14ac:dyDescent="0.45">
      <c r="A4739" t="s">
        <v>4741</v>
      </c>
      <c r="B4739">
        <v>33.594142900000001</v>
      </c>
      <c r="C4739">
        <v>-117.87674079999999</v>
      </c>
      <c r="D4739" t="str">
        <f>HYPERLINK("https://lh5.googleusercontent.com/p/AF1QipMyAyzyeX5EvNDV2xLiO7t4j3pqfG2yehPrjbxk=w408-h306-k-no", "link")</f>
        <v>link</v>
      </c>
    </row>
    <row r="4740" spans="1:4" x14ac:dyDescent="0.45">
      <c r="A4740" t="s">
        <v>4742</v>
      </c>
      <c r="B4740">
        <v>33.594490100000002</v>
      </c>
      <c r="C4740">
        <v>-117.87720349999999</v>
      </c>
      <c r="D4740" t="s">
        <v>5</v>
      </c>
    </row>
    <row r="4741" spans="1:4" x14ac:dyDescent="0.45">
      <c r="A4741" t="s">
        <v>4743</v>
      </c>
      <c r="B4741">
        <v>33.593924600000001</v>
      </c>
      <c r="C4741">
        <v>-117.8755554</v>
      </c>
      <c r="D4741" t="s">
        <v>5</v>
      </c>
    </row>
    <row r="4742" spans="1:4" x14ac:dyDescent="0.45">
      <c r="A4742" t="s">
        <v>4744</v>
      </c>
      <c r="B4742">
        <v>33.596705999999998</v>
      </c>
      <c r="C4742">
        <v>-117.8721441</v>
      </c>
      <c r="D4742" t="s">
        <v>5</v>
      </c>
    </row>
    <row r="4743" spans="1:4" x14ac:dyDescent="0.45">
      <c r="A4743" t="s">
        <v>4745</v>
      </c>
      <c r="B4743">
        <v>33.595980500000003</v>
      </c>
      <c r="C4743">
        <v>-117.8713805</v>
      </c>
      <c r="D4743" t="str">
        <f>HYPERLINK("https://streetviewpixels-pa.googleapis.com/v1/thumbnail?panoid=6Fce6wXvpog61eu3sUAHPQ&amp;cb_client=search.gws-prod.gps&amp;w=408&amp;h=240&amp;yaw=219.49522&amp;pitch=0&amp;thumbfov=100", "link")</f>
        <v>link</v>
      </c>
    </row>
    <row r="4744" spans="1:4" x14ac:dyDescent="0.45">
      <c r="A4744" t="s">
        <v>4746</v>
      </c>
      <c r="B4744">
        <v>33.602622799999999</v>
      </c>
      <c r="C4744">
        <v>-117.87397489999999</v>
      </c>
      <c r="D4744" t="str">
        <f>HYPERLINK("https://streetviewpixels-pa.googleapis.com/v1/thumbnail?panoid=UnOdIYdDJmqq3oDjncQMpA&amp;cb_client=search.gws-prod.gps&amp;w=408&amp;h=240&amp;yaw=217.31076&amp;pitch=0&amp;thumbfov=100", "link")</f>
        <v>link</v>
      </c>
    </row>
    <row r="4745" spans="1:4" x14ac:dyDescent="0.45">
      <c r="A4745" t="s">
        <v>4747</v>
      </c>
      <c r="B4745">
        <v>33.600270999999999</v>
      </c>
      <c r="C4745">
        <v>-117.8978436</v>
      </c>
      <c r="D4745" t="s">
        <v>5</v>
      </c>
    </row>
    <row r="4746" spans="1:4" x14ac:dyDescent="0.45">
      <c r="A4746" t="s">
        <v>4748</v>
      </c>
      <c r="B4746">
        <v>33.6002954</v>
      </c>
      <c r="C4746">
        <v>-117.8978492</v>
      </c>
      <c r="D4746" t="s">
        <v>5</v>
      </c>
    </row>
    <row r="4747" spans="1:4" x14ac:dyDescent="0.45">
      <c r="A4747" t="s">
        <v>4749</v>
      </c>
      <c r="B4747">
        <v>33.610036099999903</v>
      </c>
      <c r="C4747">
        <v>-117.8894722</v>
      </c>
      <c r="D4747" t="s">
        <v>5</v>
      </c>
    </row>
    <row r="4748" spans="1:4" x14ac:dyDescent="0.45">
      <c r="A4748" t="s">
        <v>4750</v>
      </c>
      <c r="B4748">
        <v>33.600489000000003</v>
      </c>
      <c r="C4748">
        <v>-117.8993327</v>
      </c>
      <c r="D4748" t="s">
        <v>5</v>
      </c>
    </row>
    <row r="4749" spans="1:4" x14ac:dyDescent="0.45">
      <c r="A4749" t="s">
        <v>4751</v>
      </c>
      <c r="B4749">
        <v>33.600538</v>
      </c>
      <c r="C4749">
        <v>-117.8994971</v>
      </c>
      <c r="D4749" t="s">
        <v>5</v>
      </c>
    </row>
    <row r="4750" spans="1:4" x14ac:dyDescent="0.45">
      <c r="A4750" t="s">
        <v>4752</v>
      </c>
      <c r="B4750">
        <v>33.601089999999999</v>
      </c>
      <c r="C4750">
        <v>-117.89990899999999</v>
      </c>
      <c r="D4750" t="str">
        <f>HYPERLINK("https://streetviewpixels-pa.googleapis.com/v1/thumbnail?panoid=WrkEh-5QpNpyHWEVsfbZZA&amp;cb_client=search.gws-prod.gps&amp;w=408&amp;h=240&amp;yaw=100.629906&amp;pitch=0&amp;thumbfov=100", "link")</f>
        <v>link</v>
      </c>
    </row>
    <row r="4751" spans="1:4" x14ac:dyDescent="0.45">
      <c r="A4751" t="s">
        <v>4753</v>
      </c>
      <c r="B4751">
        <v>33.601140600000001</v>
      </c>
      <c r="C4751">
        <v>-117.9002972</v>
      </c>
      <c r="D4751" t="str">
        <f>HYPERLINK("https://streetviewpixels-pa.googleapis.com/v1/thumbnail?panoid=f2iWsm5a5FmCeUW_CSp1SQ&amp;cb_client=search.gws-prod.gps&amp;w=408&amp;h=240&amp;yaw=193.70453&amp;pitch=0&amp;thumbfov=100", "link")</f>
        <v>link</v>
      </c>
    </row>
    <row r="4752" spans="1:4" x14ac:dyDescent="0.45">
      <c r="A4752" t="s">
        <v>4754</v>
      </c>
      <c r="B4752">
        <v>33.614558099999897</v>
      </c>
      <c r="C4752">
        <v>-117.87116880000001</v>
      </c>
      <c r="D4752" t="s">
        <v>5</v>
      </c>
    </row>
    <row r="4753" spans="1:4" x14ac:dyDescent="0.45">
      <c r="A4753" t="s">
        <v>4755</v>
      </c>
      <c r="B4753">
        <v>33.613982100000001</v>
      </c>
      <c r="C4753">
        <v>-117.86851230000001</v>
      </c>
      <c r="D4753" t="s">
        <v>5</v>
      </c>
    </row>
    <row r="4754" spans="1:4" x14ac:dyDescent="0.45">
      <c r="A4754" t="s">
        <v>4756</v>
      </c>
      <c r="B4754">
        <v>33.602583000000003</v>
      </c>
      <c r="C4754">
        <v>-117.9003072</v>
      </c>
      <c r="D4754" t="str">
        <f>HYPERLINK("https://lh5.googleusercontent.com/p/AF1QipM5o_gbD80OF06NU-USoJ3Iyc_Js4-_F5ZvCHkE=w408-h306-k-no", "link")</f>
        <v>link</v>
      </c>
    </row>
    <row r="4755" spans="1:4" x14ac:dyDescent="0.45">
      <c r="A4755" t="s">
        <v>4757</v>
      </c>
      <c r="B4755">
        <v>33.615011600000003</v>
      </c>
      <c r="C4755">
        <v>-117.870113</v>
      </c>
      <c r="D4755" t="str">
        <f>HYPERLINK("https://streetviewpixels-pa.googleapis.com/v1/thumbnail?panoid=YLq2J5OQgeuFqfF0Z-s4IQ&amp;cb_client=search.gws-prod.gps&amp;w=408&amp;h=240&amp;yaw=302.4611&amp;pitch=0&amp;thumbfov=100", "link")</f>
        <v>link</v>
      </c>
    </row>
    <row r="4756" spans="1:4" x14ac:dyDescent="0.45">
      <c r="A4756" t="s">
        <v>4758</v>
      </c>
      <c r="B4756">
        <v>33.607512799999903</v>
      </c>
      <c r="C4756">
        <v>-117.9232761</v>
      </c>
      <c r="D4756" t="s">
        <v>5</v>
      </c>
    </row>
    <row r="4757" spans="1:4" x14ac:dyDescent="0.45">
      <c r="A4757" t="s">
        <v>4759</v>
      </c>
      <c r="B4757">
        <v>33.608536999999998</v>
      </c>
      <c r="C4757">
        <v>-117.924954</v>
      </c>
      <c r="D4757" t="str">
        <f>HYPERLINK("https://lh5.googleusercontent.com/p/AF1QipOMSw8llgtMent-uP_YtS_2ZOhKzrRV4rw50SJl=w426-h240-k-no", "link")</f>
        <v>link</v>
      </c>
    </row>
    <row r="4758" spans="1:4" x14ac:dyDescent="0.45">
      <c r="A4758" t="s">
        <v>4760</v>
      </c>
      <c r="B4758">
        <v>33.618012499999999</v>
      </c>
      <c r="C4758">
        <v>-117.9191636</v>
      </c>
      <c r="D4758" t="str">
        <f>HYPERLINK("https://streetviewpixels-pa.googleapis.com/v1/thumbnail?panoid=DIFqBufe7E6uh9DMC51dSQ&amp;cb_client=search.gws-prod.gps&amp;w=408&amp;h=240&amp;yaw=40.949314&amp;pitch=0&amp;thumbfov=100", "link")</f>
        <v>link</v>
      </c>
    </row>
    <row r="4759" spans="1:4" x14ac:dyDescent="0.45">
      <c r="A4759" t="s">
        <v>4761</v>
      </c>
      <c r="B4759">
        <v>33.6086983</v>
      </c>
      <c r="C4759">
        <v>-117.9272114</v>
      </c>
      <c r="D4759" t="str">
        <f>HYPERLINK("https://streetviewpixels-pa.googleapis.com/v1/thumbnail?panoid=k1_ulGnFfoqNs2KWPefWDw&amp;cb_client=search.gws-prod.gps&amp;w=408&amp;h=240&amp;yaw=54.861015&amp;pitch=0&amp;thumbfov=100", "link")</f>
        <v>link</v>
      </c>
    </row>
    <row r="4760" spans="1:4" x14ac:dyDescent="0.45">
      <c r="A4760" t="s">
        <v>4762</v>
      </c>
      <c r="B4760">
        <v>33.608127400000001</v>
      </c>
      <c r="C4760">
        <v>-117.9283439</v>
      </c>
      <c r="D4760" t="str">
        <f>HYPERLINK("https://streetviewpixels-pa.googleapis.com/v1/thumbnail?panoid=ALHy6l8LCIXRKncnniuDIA&amp;cb_client=search.gws-prod.gps&amp;w=408&amp;h=240&amp;yaw=181.68173&amp;pitch=0&amp;thumbfov=100", "link")</f>
        <v>link</v>
      </c>
    </row>
    <row r="4761" spans="1:4" x14ac:dyDescent="0.45">
      <c r="A4761" t="s">
        <v>4763</v>
      </c>
      <c r="B4761">
        <v>33.609941599999999</v>
      </c>
      <c r="C4761">
        <v>-117.92768150000001</v>
      </c>
      <c r="D4761" t="str">
        <f>HYPERLINK("https://streetviewpixels-pa.googleapis.com/v1/thumbnail?panoid=vZpPviswvL8A0z_EEujrUw&amp;cb_client=search.gws-prod.gps&amp;w=408&amp;h=240&amp;yaw=22.475445&amp;pitch=0&amp;thumbfov=100", "link")</f>
        <v>link</v>
      </c>
    </row>
    <row r="4762" spans="1:4" x14ac:dyDescent="0.45">
      <c r="A4762" t="s">
        <v>4764</v>
      </c>
      <c r="B4762">
        <v>33.6085341</v>
      </c>
      <c r="C4762">
        <v>-117.9287903</v>
      </c>
      <c r="D4762" t="s">
        <v>5</v>
      </c>
    </row>
    <row r="4763" spans="1:4" x14ac:dyDescent="0.45">
      <c r="A4763" t="s">
        <v>4765</v>
      </c>
      <c r="B4763">
        <v>33.625409099999899</v>
      </c>
      <c r="C4763">
        <v>-117.9087868</v>
      </c>
      <c r="D4763" t="s">
        <v>5</v>
      </c>
    </row>
    <row r="4764" spans="1:4" x14ac:dyDescent="0.45">
      <c r="A4764" t="s">
        <v>4766</v>
      </c>
      <c r="B4764">
        <v>33.612613000000003</v>
      </c>
      <c r="C4764">
        <v>-117.9283551</v>
      </c>
      <c r="D4764" t="str">
        <f>HYPERLINK("https://streetviewpixels-pa.googleapis.com/v1/thumbnail?panoid=-hLSIoYFsAcq0dCMOnokbw&amp;cb_client=search.gws-prod.gps&amp;w=408&amp;h=240&amp;yaw=91.82856&amp;pitch=0&amp;thumbfov=100", "link")</f>
        <v>link</v>
      </c>
    </row>
    <row r="4765" spans="1:4" x14ac:dyDescent="0.45">
      <c r="A4765" t="s">
        <v>4767</v>
      </c>
      <c r="B4765">
        <v>33.568360200000001</v>
      </c>
      <c r="C4765">
        <v>-117.8308681</v>
      </c>
      <c r="D4765" t="s">
        <v>5</v>
      </c>
    </row>
    <row r="4766" spans="1:4" x14ac:dyDescent="0.45">
      <c r="A4766" t="s">
        <v>4768</v>
      </c>
      <c r="B4766">
        <v>33.567214100000001</v>
      </c>
      <c r="C4766">
        <v>-117.8316007</v>
      </c>
      <c r="D4766" t="s">
        <v>5</v>
      </c>
    </row>
    <row r="4767" spans="1:4" x14ac:dyDescent="0.45">
      <c r="A4767" t="s">
        <v>4769</v>
      </c>
      <c r="B4767">
        <v>33.567157000000002</v>
      </c>
      <c r="C4767">
        <v>-117.8316653</v>
      </c>
      <c r="D4767" t="s">
        <v>5</v>
      </c>
    </row>
    <row r="4768" spans="1:4" x14ac:dyDescent="0.45">
      <c r="A4768" t="s">
        <v>4770</v>
      </c>
      <c r="B4768">
        <v>33.565771400000003</v>
      </c>
      <c r="C4768">
        <v>-117.8294123</v>
      </c>
      <c r="D4768" t="str">
        <f>HYPERLINK("https://lh5.googleusercontent.com/p/AF1QipPMOYtdBVnZ7NQtO62ZT0Fj0Rf8RKxcdGNGKkz-=w408-h544-k-no", "link")</f>
        <v>link</v>
      </c>
    </row>
    <row r="4769" spans="1:4" x14ac:dyDescent="0.45">
      <c r="A4769" t="s">
        <v>4771</v>
      </c>
      <c r="B4769">
        <v>33.566554500000002</v>
      </c>
      <c r="C4769">
        <v>-117.8217095</v>
      </c>
      <c r="D4769" t="s">
        <v>5</v>
      </c>
    </row>
    <row r="4770" spans="1:4" x14ac:dyDescent="0.45">
      <c r="A4770" t="s">
        <v>4772</v>
      </c>
      <c r="B4770">
        <v>33.562474000000002</v>
      </c>
      <c r="C4770">
        <v>-117.8186062</v>
      </c>
      <c r="D4770" t="s">
        <v>5</v>
      </c>
    </row>
    <row r="4771" spans="1:4" x14ac:dyDescent="0.45">
      <c r="A4771" t="s">
        <v>4773</v>
      </c>
      <c r="B4771">
        <v>33.607604600000002</v>
      </c>
      <c r="C4771">
        <v>-117.8276626</v>
      </c>
      <c r="D4771" t="s">
        <v>5</v>
      </c>
    </row>
    <row r="4772" spans="1:4" x14ac:dyDescent="0.45">
      <c r="A4772" t="s">
        <v>4774</v>
      </c>
      <c r="B4772">
        <v>33.680059</v>
      </c>
      <c r="C4772">
        <v>-117.893259</v>
      </c>
      <c r="D4772" t="str">
        <f>HYPERLINK("https://streetviewpixels-pa.googleapis.com/v1/thumbnail?panoid=H-Rmqp-ABQnjNhmBNT2uWQ&amp;cb_client=search.gws-prod.gps&amp;w=408&amp;h=240&amp;yaw=188.96172&amp;pitch=0&amp;thumbfov=100", "link")</f>
        <v>link</v>
      </c>
    </row>
    <row r="4773" spans="1:4" x14ac:dyDescent="0.45">
      <c r="A4773" t="s">
        <v>4775</v>
      </c>
      <c r="B4773">
        <v>33.681798100000002</v>
      </c>
      <c r="C4773">
        <v>-117.87003559999999</v>
      </c>
      <c r="D4773" t="str">
        <f>HYPERLINK("https://streetviewpixels-pa.googleapis.com/v1/thumbnail?panoid=MAYEPtvtPhENZ7rcuprc6A&amp;cb_client=search.gws-prod.gps&amp;w=408&amp;h=240&amp;yaw=36.79274&amp;pitch=0&amp;thumbfov=100", "link")</f>
        <v>link</v>
      </c>
    </row>
    <row r="4774" spans="1:4" x14ac:dyDescent="0.45">
      <c r="A4774" t="s">
        <v>4776</v>
      </c>
      <c r="B4774">
        <v>33.701695299999997</v>
      </c>
      <c r="C4774">
        <v>-117.8919899</v>
      </c>
      <c r="D4774" t="s">
        <v>5</v>
      </c>
    </row>
    <row r="4775" spans="1:4" x14ac:dyDescent="0.45">
      <c r="A4775" t="s">
        <v>4777</v>
      </c>
      <c r="B4775">
        <v>33.697140500000003</v>
      </c>
      <c r="C4775">
        <v>-117.8672711</v>
      </c>
      <c r="D4775" t="str">
        <f>HYPERLINK("https://streetviewpixels-pa.googleapis.com/v1/thumbnail?panoid=Gfd5uDfBt8LbCJqv-jFryw&amp;cb_client=search.gws-prod.gps&amp;w=408&amp;h=240&amp;yaw=17.788536&amp;pitch=0&amp;thumbfov=100", "link")</f>
        <v>link</v>
      </c>
    </row>
    <row r="4776" spans="1:4" x14ac:dyDescent="0.45">
      <c r="A4776" t="s">
        <v>4778</v>
      </c>
      <c r="B4776">
        <v>33.688285800000003</v>
      </c>
      <c r="C4776">
        <v>-117.864293</v>
      </c>
      <c r="D4776" t="s">
        <v>5</v>
      </c>
    </row>
    <row r="4777" spans="1:4" x14ac:dyDescent="0.45">
      <c r="A4777" t="s">
        <v>4779</v>
      </c>
      <c r="B4777">
        <v>33.674317000000002</v>
      </c>
      <c r="C4777">
        <v>-117.87450250000001</v>
      </c>
      <c r="D4777" t="str">
        <f>HYPERLINK("https://streetviewpixels-pa.googleapis.com/v1/thumbnail?panoid=xDAm74q0iBfN8_70o7s3dg&amp;cb_client=search.gws-prod.gps&amp;w=408&amp;h=240&amp;yaw=255.47725&amp;pitch=0&amp;thumbfov=100", "link")</f>
        <v>link</v>
      </c>
    </row>
    <row r="4778" spans="1:4" x14ac:dyDescent="0.45">
      <c r="A4778" t="s">
        <v>4780</v>
      </c>
      <c r="B4778">
        <v>33.700171699999999</v>
      </c>
      <c r="C4778">
        <v>-117.8678405</v>
      </c>
      <c r="D4778" t="s">
        <v>5</v>
      </c>
    </row>
    <row r="4779" spans="1:4" x14ac:dyDescent="0.45">
      <c r="A4779" t="s">
        <v>4781</v>
      </c>
      <c r="B4779">
        <v>33.686626699999998</v>
      </c>
      <c r="C4779">
        <v>-117.861903</v>
      </c>
      <c r="D4779" t="s">
        <v>5</v>
      </c>
    </row>
    <row r="4780" spans="1:4" x14ac:dyDescent="0.45">
      <c r="A4780" t="s">
        <v>4782</v>
      </c>
      <c r="B4780">
        <v>33.689085300000002</v>
      </c>
      <c r="C4780">
        <v>-117.88407290000001</v>
      </c>
      <c r="D4780" t="str">
        <f>HYPERLINK("https://streetviewpixels-pa.googleapis.com/v1/thumbnail?panoid=VripSVfD4tVLmlUm2ztCJA&amp;cb_client=search.gws-prod.gps&amp;w=408&amp;h=240&amp;yaw=297.69693&amp;pitch=0&amp;thumbfov=100", "link")</f>
        <v>link</v>
      </c>
    </row>
    <row r="4781" spans="1:4" x14ac:dyDescent="0.45">
      <c r="A4781" t="s">
        <v>4783</v>
      </c>
      <c r="B4781">
        <v>33.6881342</v>
      </c>
      <c r="C4781">
        <v>-117.8824058</v>
      </c>
      <c r="D4781" t="str">
        <f>HYPERLINK("https://lh5.googleusercontent.com/p/AF1QipMTfp0q1VuAxCp5gMju1cg4KWkT0FNDKaEf6Gpz=w408-h306-k-no", "link")</f>
        <v>link</v>
      </c>
    </row>
    <row r="4782" spans="1:4" x14ac:dyDescent="0.45">
      <c r="A4782" t="s">
        <v>4784</v>
      </c>
      <c r="B4782">
        <v>33.6907864</v>
      </c>
      <c r="C4782">
        <v>-117.8826493</v>
      </c>
      <c r="D4782" t="str">
        <f>HYPERLINK("https://lh5.googleusercontent.com/p/AF1QipMbpvia2eCiaSRZfn3-Q6qYFzYLWP6kZdfJfv7f=w408-h544-k-no", "link")</f>
        <v>link</v>
      </c>
    </row>
    <row r="4783" spans="1:4" x14ac:dyDescent="0.45">
      <c r="A4783" t="s">
        <v>4785</v>
      </c>
      <c r="B4783">
        <v>33.6893016</v>
      </c>
      <c r="C4783">
        <v>-117.8871833</v>
      </c>
      <c r="D4783" t="s">
        <v>5</v>
      </c>
    </row>
    <row r="4784" spans="1:4" x14ac:dyDescent="0.45">
      <c r="A4784" t="s">
        <v>4786</v>
      </c>
      <c r="B4784">
        <v>33.690713600000002</v>
      </c>
      <c r="C4784">
        <v>-117.88148390000001</v>
      </c>
      <c r="D4784" t="str">
        <f>HYPERLINK("https://streetviewpixels-pa.googleapis.com/v1/thumbnail?panoid=v8PetaPwKVxaB_Xa9YAHGA&amp;cb_client=search.gws-prod.gps&amp;w=408&amp;h=240&amp;yaw=59.63668&amp;pitch=0&amp;thumbfov=100", "link")</f>
        <v>link</v>
      </c>
    </row>
    <row r="4785" spans="1:4" x14ac:dyDescent="0.45">
      <c r="A4785" t="s">
        <v>4787</v>
      </c>
      <c r="B4785">
        <v>33.692101899999997</v>
      </c>
      <c r="C4785">
        <v>-117.88489319999999</v>
      </c>
      <c r="D4785" t="str">
        <f>HYPERLINK("https://streetviewpixels-pa.googleapis.com/v1/thumbnail?panoid=-QGjYfPBF3a3ZzaFv0MTxw&amp;cb_client=search.gws-prod.gps&amp;w=408&amp;h=240&amp;yaw=137.2019&amp;pitch=0&amp;thumbfov=100", "link")</f>
        <v>link</v>
      </c>
    </row>
    <row r="4786" spans="1:4" x14ac:dyDescent="0.45">
      <c r="A4786" t="s">
        <v>4788</v>
      </c>
      <c r="B4786">
        <v>33.692250000000001</v>
      </c>
      <c r="C4786">
        <v>-117.88437740000001</v>
      </c>
      <c r="D4786" t="str">
        <f>HYPERLINK("https://streetviewpixels-pa.googleapis.com/v1/thumbnail?panoid=-QGjYfPBF3a3ZzaFv0MTxw&amp;cb_client=search.gws-prod.gps&amp;w=408&amp;h=240&amp;yaw=137.2019&amp;pitch=0&amp;thumbfov=100", "link")</f>
        <v>link</v>
      </c>
    </row>
    <row r="4787" spans="1:4" x14ac:dyDescent="0.45">
      <c r="A4787" t="s">
        <v>4789</v>
      </c>
      <c r="B4787">
        <v>33.688272699999999</v>
      </c>
      <c r="C4787">
        <v>-117.8880989</v>
      </c>
      <c r="D4787" t="s">
        <v>5</v>
      </c>
    </row>
    <row r="4788" spans="1:4" x14ac:dyDescent="0.45">
      <c r="A4788" t="s">
        <v>4790</v>
      </c>
      <c r="B4788">
        <v>33.693275999999997</v>
      </c>
      <c r="C4788">
        <v>-117.8837259</v>
      </c>
      <c r="D4788" t="str">
        <f>HYPERLINK("https://streetviewpixels-pa.googleapis.com/v1/thumbnail?panoid=_-7r05hxlRRzu1yYPyYIeA&amp;cb_client=search.gws-prod.gps&amp;w=408&amp;h=240&amp;yaw=70.01912&amp;pitch=0&amp;thumbfov=100", "link")</f>
        <v>link</v>
      </c>
    </row>
    <row r="4789" spans="1:4" x14ac:dyDescent="0.45">
      <c r="A4789" t="s">
        <v>4791</v>
      </c>
      <c r="B4789">
        <v>33.693215700000003</v>
      </c>
      <c r="C4789">
        <v>-117.88269699999999</v>
      </c>
      <c r="D4789" t="str">
        <f>HYPERLINK("https://streetviewpixels-pa.googleapis.com/v1/thumbnail?panoid=0K73E4Q8TjXJBwHOfpvM4w&amp;cb_client=search.gws-prod.gps&amp;w=408&amp;h=240&amp;yaw=41.73424&amp;pitch=0&amp;thumbfov=100", "link")</f>
        <v>link</v>
      </c>
    </row>
    <row r="4790" spans="1:4" x14ac:dyDescent="0.45">
      <c r="A4790" t="s">
        <v>4792</v>
      </c>
      <c r="B4790">
        <v>33.684584999999998</v>
      </c>
      <c r="C4790">
        <v>-117.88396299999999</v>
      </c>
      <c r="D4790" t="str">
        <f>HYPERLINK("https://streetviewpixels-pa.googleapis.com/v1/thumbnail?panoid=W1BVFh3KFld6t5PavTmkdg&amp;cb_client=search.gws-prod.gps&amp;w=408&amp;h=240&amp;yaw=272.63788&amp;pitch=0&amp;thumbfov=100", "link")</f>
        <v>link</v>
      </c>
    </row>
    <row r="4791" spans="1:4" x14ac:dyDescent="0.45">
      <c r="A4791" t="s">
        <v>4793</v>
      </c>
      <c r="B4791">
        <v>33.688884399999999</v>
      </c>
      <c r="C4791">
        <v>-117.8786685</v>
      </c>
      <c r="D4791" t="str">
        <f>HYPERLINK("https://streetviewpixels-pa.googleapis.com/v1/thumbnail?panoid=ukyxDIBA2y0Duy1CGEKLzQ&amp;cb_client=search.gws-prod.gps&amp;w=408&amp;h=240&amp;yaw=178.99567&amp;pitch=0&amp;thumbfov=100", "link")</f>
        <v>link</v>
      </c>
    </row>
    <row r="4792" spans="1:4" x14ac:dyDescent="0.45">
      <c r="A4792" t="s">
        <v>4794</v>
      </c>
      <c r="B4792">
        <v>33.693600699999998</v>
      </c>
      <c r="C4792">
        <v>-117.88507749999999</v>
      </c>
      <c r="D4792" t="s">
        <v>5</v>
      </c>
    </row>
    <row r="4793" spans="1:4" x14ac:dyDescent="0.45">
      <c r="A4793" t="s">
        <v>4795</v>
      </c>
      <c r="B4793">
        <v>33.693922100000002</v>
      </c>
      <c r="C4793">
        <v>-117.8850085</v>
      </c>
      <c r="D4793" t="str">
        <f>HYPERLINK("https://streetviewpixels-pa.googleapis.com/v1/thumbnail?panoid=bYe1ZcgxNGU-02Sy9i2bHg&amp;cb_client=search.gws-prod.gps&amp;w=408&amp;h=240&amp;yaw=359.01248&amp;pitch=0&amp;thumbfov=100", "link")</f>
        <v>link</v>
      </c>
    </row>
    <row r="4794" spans="1:4" x14ac:dyDescent="0.45">
      <c r="A4794" t="s">
        <v>4796</v>
      </c>
      <c r="B4794">
        <v>33.693716700000003</v>
      </c>
      <c r="C4794">
        <v>-117.8819646</v>
      </c>
      <c r="D4794" t="str">
        <f>HYPERLINK("https://streetviewpixels-pa.googleapis.com/v1/thumbnail?panoid=I5lgoKSdAAWihXqovAUx_A&amp;cb_client=search.gws-prod.gps&amp;w=408&amp;h=240&amp;yaw=181.51126&amp;pitch=0&amp;thumbfov=100", "link")</f>
        <v>link</v>
      </c>
    </row>
    <row r="4795" spans="1:4" x14ac:dyDescent="0.45">
      <c r="A4795" t="s">
        <v>4797</v>
      </c>
      <c r="B4795">
        <v>33.691810099999898</v>
      </c>
      <c r="C4795">
        <v>-117.8891809</v>
      </c>
      <c r="D4795" t="str">
        <f>HYPERLINK("https://streetviewpixels-pa.googleapis.com/v1/thumbnail?panoid=BAW1mun1ozUEzOz4FOvtuA&amp;cb_client=search.gws-prod.gps&amp;w=408&amp;h=240&amp;yaw=124.93245&amp;pitch=0&amp;thumbfov=100", "link")</f>
        <v>link</v>
      </c>
    </row>
    <row r="4796" spans="1:4" x14ac:dyDescent="0.45">
      <c r="A4796" t="s">
        <v>4798</v>
      </c>
      <c r="B4796">
        <v>33.693942</v>
      </c>
      <c r="C4796">
        <v>-117.8823039</v>
      </c>
      <c r="D4796" t="str">
        <f>HYPERLINK("https://streetviewpixels-pa.googleapis.com/v1/thumbnail?panoid=I5lgoKSdAAWihXqovAUx_A&amp;cb_client=search.gws-prod.gps&amp;w=408&amp;h=240&amp;yaw=181.51126&amp;pitch=0&amp;thumbfov=100", "link")</f>
        <v>link</v>
      </c>
    </row>
    <row r="4797" spans="1:4" x14ac:dyDescent="0.45">
      <c r="A4797" t="s">
        <v>4799</v>
      </c>
      <c r="B4797">
        <v>33.694745900000001</v>
      </c>
      <c r="C4797">
        <v>-117.8843451</v>
      </c>
      <c r="D4797" t="s">
        <v>5</v>
      </c>
    </row>
    <row r="4798" spans="1:4" x14ac:dyDescent="0.45">
      <c r="A4798" t="s">
        <v>4800</v>
      </c>
      <c r="B4798">
        <v>33.6833125</v>
      </c>
      <c r="C4798">
        <v>-117.8840158</v>
      </c>
      <c r="D4798" t="str">
        <f>HYPERLINK("https://streetviewpixels-pa.googleapis.com/v1/thumbnail?panoid=EtqPseErTrnHoAoywtgKGQ&amp;cb_client=search.gws-prod.gps&amp;w=408&amp;h=240&amp;yaw=129.23616&amp;pitch=0&amp;thumbfov=100", "link")</f>
        <v>link</v>
      </c>
    </row>
    <row r="4799" spans="1:4" x14ac:dyDescent="0.45">
      <c r="A4799" t="s">
        <v>4801</v>
      </c>
      <c r="B4799">
        <v>33.691666499999997</v>
      </c>
      <c r="C4799">
        <v>-117.8930665</v>
      </c>
      <c r="D4799" t="str">
        <f>HYPERLINK("https://streetviewpixels-pa.googleapis.com/v1/thumbnail?panoid=aEQhW7CfafFouSduZmYlow&amp;cb_client=search.gws-prod.gps&amp;w=408&amp;h=240&amp;yaw=94.97865&amp;pitch=0&amp;thumbfov=100", "link")</f>
        <v>link</v>
      </c>
    </row>
    <row r="4800" spans="1:4" x14ac:dyDescent="0.45">
      <c r="A4800" t="s">
        <v>4802</v>
      </c>
      <c r="B4800">
        <v>33.688974000000002</v>
      </c>
      <c r="C4800">
        <v>-117.8618888</v>
      </c>
      <c r="D4800" t="str">
        <f>HYPERLINK("https://streetviewpixels-pa.googleapis.com/v1/thumbnail?panoid=hnrWqbhrOMY5Cj1vbLOphg&amp;cb_client=search.gws-prod.gps&amp;w=408&amp;h=240&amp;yaw=222.90894&amp;pitch=0&amp;thumbfov=100", "link")</f>
        <v>link</v>
      </c>
    </row>
    <row r="4801" spans="1:4" x14ac:dyDescent="0.45">
      <c r="A4801" t="s">
        <v>4803</v>
      </c>
      <c r="B4801">
        <v>33.697703799999999</v>
      </c>
      <c r="C4801">
        <v>-117.8636521</v>
      </c>
      <c r="D4801" t="str">
        <f>HYPERLINK("https://lh5.googleusercontent.com/p/AF1QipOwvywEXFRFwepEGLbMIPt2JH9-xC73Chb98QZ7=w408-h544-k-no", "link")</f>
        <v>link</v>
      </c>
    </row>
    <row r="4802" spans="1:4" x14ac:dyDescent="0.45">
      <c r="A4802" t="s">
        <v>4804</v>
      </c>
      <c r="B4802">
        <v>33.700508499999998</v>
      </c>
      <c r="C4802">
        <v>-117.86623659999999</v>
      </c>
      <c r="D4802" t="str">
        <f>HYPERLINK("https://streetviewpixels-pa.googleapis.com/v1/thumbnail?panoid=pB4E6NHt_HxKhw8HHdyrjQ&amp;cb_client=search.gws-prod.gps&amp;w=408&amp;h=240&amp;yaw=123.16595&amp;pitch=0&amp;thumbfov=100", "link")</f>
        <v>link</v>
      </c>
    </row>
    <row r="4803" spans="1:4" x14ac:dyDescent="0.45">
      <c r="A4803" t="s">
        <v>4805</v>
      </c>
      <c r="B4803">
        <v>33.699257699999997</v>
      </c>
      <c r="C4803">
        <v>-117.8639809</v>
      </c>
      <c r="D4803" t="str">
        <f>HYPERLINK("https://streetviewpixels-pa.googleapis.com/v1/thumbnail?panoid=LDp_eRHMOPQnJPZl7AOV1Q&amp;cb_client=search.gws-prod.gps&amp;w=408&amp;h=240&amp;yaw=160.66069&amp;pitch=0&amp;thumbfov=100", "link")</f>
        <v>link</v>
      </c>
    </row>
    <row r="4804" spans="1:4" x14ac:dyDescent="0.45">
      <c r="A4804" t="s">
        <v>4806</v>
      </c>
      <c r="B4804">
        <v>33.699124300000001</v>
      </c>
      <c r="C4804">
        <v>-117.8636063</v>
      </c>
      <c r="D4804" t="s">
        <v>5</v>
      </c>
    </row>
    <row r="4805" spans="1:4" x14ac:dyDescent="0.45">
      <c r="A4805" t="s">
        <v>4807</v>
      </c>
      <c r="B4805">
        <v>33.684829599999901</v>
      </c>
      <c r="C4805">
        <v>-117.8597872</v>
      </c>
      <c r="D4805" t="str">
        <f>HYPERLINK("https://streetviewpixels-pa.googleapis.com/v1/thumbnail?panoid=W7iJ5dxlarNFG5tSkX6GPg&amp;cb_client=search.gws-prod.gps&amp;w=408&amp;h=240&amp;yaw=6.368297&amp;pitch=0&amp;thumbfov=100", "link")</f>
        <v>link</v>
      </c>
    </row>
    <row r="4806" spans="1:4" x14ac:dyDescent="0.45">
      <c r="A4806" t="s">
        <v>4808</v>
      </c>
      <c r="B4806">
        <v>33.668833100000001</v>
      </c>
      <c r="C4806">
        <v>-117.9091865</v>
      </c>
      <c r="D4806" t="str">
        <f>HYPERLINK("https://streetviewpixels-pa.googleapis.com/v1/thumbnail?panoid=TZZKMKwu8i4h4cnJWz6StQ&amp;cb_client=search.gws-prod.gps&amp;w=408&amp;h=240&amp;yaw=293.8057&amp;pitch=0&amp;thumbfov=100", "link")</f>
        <v>link</v>
      </c>
    </row>
    <row r="4807" spans="1:4" x14ac:dyDescent="0.45">
      <c r="A4807" t="s">
        <v>4809</v>
      </c>
      <c r="B4807">
        <v>33.668247899999997</v>
      </c>
      <c r="C4807">
        <v>-117.9067751</v>
      </c>
      <c r="D4807" t="s">
        <v>5</v>
      </c>
    </row>
    <row r="4808" spans="1:4" x14ac:dyDescent="0.45">
      <c r="A4808" t="s">
        <v>4810</v>
      </c>
      <c r="B4808">
        <v>33.668283700000003</v>
      </c>
      <c r="C4808">
        <v>-117.9053104</v>
      </c>
      <c r="D4808" t="s">
        <v>5</v>
      </c>
    </row>
    <row r="4809" spans="1:4" x14ac:dyDescent="0.45">
      <c r="A4809" t="s">
        <v>4811</v>
      </c>
      <c r="B4809">
        <v>33.7076943</v>
      </c>
      <c r="C4809">
        <v>-117.9498315</v>
      </c>
      <c r="D4809" t="str">
        <f>HYPERLINK("https://streetviewpixels-pa.googleapis.com/v1/thumbnail?panoid=vosOgFnm2ej3tvnKyTU3SA&amp;cb_client=search.gws-prod.gps&amp;w=408&amp;h=240&amp;yaw=102.34027&amp;pitch=0&amp;thumbfov=100", "link")</f>
        <v>link</v>
      </c>
    </row>
    <row r="4810" spans="1:4" x14ac:dyDescent="0.45">
      <c r="A4810" t="s">
        <v>4812</v>
      </c>
      <c r="B4810">
        <v>33.717954499999998</v>
      </c>
      <c r="C4810">
        <v>-117.93797859999999</v>
      </c>
      <c r="D4810" t="str">
        <f>HYPERLINK("https://streetviewpixels-pa.googleapis.com/v1/thumbnail?panoid=7sulsVbZNZmQX-WbBTkZ9Q&amp;cb_client=search.gws-prod.gps&amp;w=408&amp;h=240&amp;yaw=182.53108&amp;pitch=0&amp;thumbfov=100", "link")</f>
        <v>link</v>
      </c>
    </row>
    <row r="4811" spans="1:4" x14ac:dyDescent="0.45">
      <c r="A4811" t="s">
        <v>4813</v>
      </c>
      <c r="B4811">
        <v>33.668033000000001</v>
      </c>
      <c r="C4811">
        <v>-117.9023809</v>
      </c>
      <c r="D4811" t="s">
        <v>5</v>
      </c>
    </row>
    <row r="4812" spans="1:4" x14ac:dyDescent="0.45">
      <c r="A4812" t="s">
        <v>4814</v>
      </c>
      <c r="B4812">
        <v>33.693093699999999</v>
      </c>
      <c r="C4812">
        <v>-117.9200848</v>
      </c>
      <c r="D4812" t="str">
        <f>HYPERLINK("https://streetviewpixels-pa.googleapis.com/v1/thumbnail?panoid=ypyEpXhbUxowFfSKenB0Tg&amp;cb_client=search.gws-prod.gps&amp;w=408&amp;h=240&amp;yaw=269.81415&amp;pitch=0&amp;thumbfov=100", "link")</f>
        <v>link</v>
      </c>
    </row>
    <row r="4813" spans="1:4" x14ac:dyDescent="0.45">
      <c r="A4813" t="s">
        <v>4815</v>
      </c>
      <c r="B4813">
        <v>33.6927916</v>
      </c>
      <c r="C4813">
        <v>-117.9213302</v>
      </c>
      <c r="D4813" t="s">
        <v>5</v>
      </c>
    </row>
    <row r="4814" spans="1:4" x14ac:dyDescent="0.45">
      <c r="A4814" t="s">
        <v>4816</v>
      </c>
      <c r="B4814">
        <v>33.701366200000002</v>
      </c>
      <c r="C4814">
        <v>-117.9188587</v>
      </c>
      <c r="D4814" t="s">
        <v>5</v>
      </c>
    </row>
    <row r="4815" spans="1:4" x14ac:dyDescent="0.45">
      <c r="A4815" t="s">
        <v>4817</v>
      </c>
      <c r="B4815">
        <v>33.695349700000001</v>
      </c>
      <c r="C4815">
        <v>-117.94311500000001</v>
      </c>
      <c r="D4815" t="str">
        <f>HYPERLINK("https://streetviewpixels-pa.googleapis.com/v1/thumbnail?panoid=f_JC06TMJMwX5zKYMQrNew&amp;cb_client=search.gws-prod.gps&amp;w=408&amp;h=240&amp;yaw=281.39996&amp;pitch=0&amp;thumbfov=100", "link")</f>
        <v>link</v>
      </c>
    </row>
    <row r="4816" spans="1:4" x14ac:dyDescent="0.45">
      <c r="A4816" t="s">
        <v>4818</v>
      </c>
      <c r="B4816">
        <v>33.700627799999999</v>
      </c>
      <c r="C4816">
        <v>-117.9421954</v>
      </c>
      <c r="D4816" t="str">
        <f>HYPERLINK("https://lh5.googleusercontent.com/p/AF1QipP1IEXuqAhE_zSDw_SlOJdm6gQng6R2p1Blwc72=w408-h544-k-no", "link")</f>
        <v>link</v>
      </c>
    </row>
    <row r="4817" spans="1:4" x14ac:dyDescent="0.45">
      <c r="A4817" t="s">
        <v>4819</v>
      </c>
      <c r="B4817">
        <v>33.701265800000002</v>
      </c>
      <c r="C4817">
        <v>-117.9420473</v>
      </c>
      <c r="D4817" t="str">
        <f>HYPERLINK("https://streetviewpixels-pa.googleapis.com/v1/thumbnail?panoid=oaKlzS-KCHlrl6JiS5d8gw&amp;cb_client=search.gws-prod.gps&amp;w=408&amp;h=240&amp;yaw=348.0734&amp;pitch=0&amp;thumbfov=100", "link")</f>
        <v>link</v>
      </c>
    </row>
    <row r="4818" spans="1:4" x14ac:dyDescent="0.45">
      <c r="A4818" t="s">
        <v>4820</v>
      </c>
      <c r="B4818">
        <v>33.671021799999998</v>
      </c>
      <c r="C4818">
        <v>-117.90860600000001</v>
      </c>
      <c r="D4818" t="s">
        <v>5</v>
      </c>
    </row>
    <row r="4819" spans="1:4" x14ac:dyDescent="0.45">
      <c r="A4819" t="s">
        <v>4821</v>
      </c>
      <c r="B4819">
        <v>33.619567599999897</v>
      </c>
      <c r="C4819">
        <v>-117.9291375</v>
      </c>
      <c r="D4819" t="str">
        <f>HYPERLINK("https://streetviewpixels-pa.googleapis.com/v1/thumbnail?panoid=h0GhlQmdXsH3xBo6-rlcqg&amp;cb_client=search.gws-prod.gps&amp;w=408&amp;h=240&amp;yaw=97.581795&amp;pitch=0&amp;thumbfov=100", "link")</f>
        <v>link</v>
      </c>
    </row>
    <row r="4820" spans="1:4" x14ac:dyDescent="0.45">
      <c r="A4820" t="s">
        <v>4822</v>
      </c>
      <c r="B4820">
        <v>33.635144799999999</v>
      </c>
      <c r="C4820">
        <v>-117.9247743</v>
      </c>
      <c r="D4820" t="s">
        <v>5</v>
      </c>
    </row>
    <row r="4821" spans="1:4" x14ac:dyDescent="0.45">
      <c r="A4821" t="s">
        <v>4823</v>
      </c>
      <c r="B4821">
        <v>33.643975699999999</v>
      </c>
      <c r="C4821">
        <v>-117.9182637</v>
      </c>
      <c r="D4821" t="str">
        <f>HYPERLINK("https://streetviewpixels-pa.googleapis.com/v1/thumbnail?panoid=3Ut-EdAE3l8miC-oR_1lPw&amp;cb_client=search.gws-prod.gps&amp;w=408&amp;h=240&amp;yaw=4.7916965&amp;pitch=0&amp;thumbfov=100", "link")</f>
        <v>link</v>
      </c>
    </row>
    <row r="4822" spans="1:4" x14ac:dyDescent="0.45">
      <c r="A4822" t="s">
        <v>4824</v>
      </c>
      <c r="B4822">
        <v>33.644304599999998</v>
      </c>
      <c r="C4822">
        <v>-117.9167533</v>
      </c>
      <c r="D4822" t="str">
        <f>HYPERLINK("https://streetviewpixels-pa.googleapis.com/v1/thumbnail?panoid=9812CTnJcWsObawqovrh0Q&amp;cb_client=search.gws-prod.gps&amp;w=408&amp;h=240&amp;yaw=43.37941&amp;pitch=0&amp;thumbfov=100", "link")</f>
        <v>link</v>
      </c>
    </row>
    <row r="4823" spans="1:4" x14ac:dyDescent="0.45">
      <c r="A4823" t="s">
        <v>4825</v>
      </c>
      <c r="B4823">
        <v>33.633499499999999</v>
      </c>
      <c r="C4823">
        <v>-117.9324518</v>
      </c>
      <c r="D4823" t="str">
        <f>HYPERLINK("https://streetviewpixels-pa.googleapis.com/v1/thumbnail?panoid=aF7noNflaMjahQGrEbkAIA&amp;cb_client=search.gws-prod.gps&amp;w=408&amp;h=240&amp;yaw=267.43835&amp;pitch=0&amp;thumbfov=100", "link")</f>
        <v>link</v>
      </c>
    </row>
    <row r="4824" spans="1:4" x14ac:dyDescent="0.45">
      <c r="A4824" t="s">
        <v>4826</v>
      </c>
      <c r="B4824">
        <v>33.625358800000001</v>
      </c>
      <c r="C4824">
        <v>-117.92886249999999</v>
      </c>
      <c r="D4824" t="str">
        <f>HYPERLINK("https://streetviewpixels-pa.googleapis.com/v1/thumbnail?panoid=pL4JCdcuiBFOGHYbDvjaeA&amp;cb_client=search.gws-prod.gps&amp;w=408&amp;h=240&amp;yaw=105.311264&amp;pitch=0&amp;thumbfov=100", "link")</f>
        <v>link</v>
      </c>
    </row>
    <row r="4825" spans="1:4" x14ac:dyDescent="0.45">
      <c r="A4825" t="s">
        <v>4827</v>
      </c>
      <c r="B4825">
        <v>33.625363599999901</v>
      </c>
      <c r="C4825">
        <v>-117.92890629999999</v>
      </c>
      <c r="D4825" t="str">
        <f>HYPERLINK("https://streetviewpixels-pa.googleapis.com/v1/thumbnail?panoid=pL4JCdcuiBFOGHYbDvjaeA&amp;cb_client=search.gws-prod.gps&amp;w=408&amp;h=240&amp;yaw=105.311264&amp;pitch=0&amp;thumbfov=100", "link")</f>
        <v>link</v>
      </c>
    </row>
    <row r="4826" spans="1:4" x14ac:dyDescent="0.45">
      <c r="A4826" t="s">
        <v>4828</v>
      </c>
      <c r="B4826">
        <v>33.625363299999997</v>
      </c>
      <c r="C4826">
        <v>-117.9289067</v>
      </c>
      <c r="D4826" t="str">
        <f>HYPERLINK("https://streetviewpixels-pa.googleapis.com/v1/thumbnail?panoid=pL4JCdcuiBFOGHYbDvjaeA&amp;cb_client=search.gws-prod.gps&amp;w=408&amp;h=240&amp;yaw=105.311264&amp;pitch=0&amp;thumbfov=100", "link")</f>
        <v>link</v>
      </c>
    </row>
    <row r="4827" spans="1:4" x14ac:dyDescent="0.45">
      <c r="A4827" t="s">
        <v>4829</v>
      </c>
      <c r="B4827">
        <v>33.623309999999996</v>
      </c>
      <c r="C4827">
        <v>-117.92969669999999</v>
      </c>
      <c r="D4827" t="str">
        <f>HYPERLINK("https://streetviewpixels-pa.googleapis.com/v1/thumbnail?panoid=85oiS-slV7iScW5mLsqASg&amp;cb_client=search.gws-prod.gps&amp;w=408&amp;h=240&amp;yaw=180.53683&amp;pitch=0&amp;thumbfov=100", "link")</f>
        <v>link</v>
      </c>
    </row>
    <row r="4828" spans="1:4" x14ac:dyDescent="0.45">
      <c r="A4828" t="s">
        <v>4830</v>
      </c>
      <c r="B4828">
        <v>33.621525200000001</v>
      </c>
      <c r="C4828">
        <v>-117.9242594</v>
      </c>
      <c r="D4828" t="s">
        <v>5</v>
      </c>
    </row>
    <row r="4829" spans="1:4" x14ac:dyDescent="0.45">
      <c r="A4829" t="s">
        <v>4831</v>
      </c>
      <c r="B4829">
        <v>33.622687200000001</v>
      </c>
      <c r="C4829">
        <v>-117.9315364</v>
      </c>
      <c r="D4829" t="s">
        <v>5</v>
      </c>
    </row>
    <row r="4830" spans="1:4" x14ac:dyDescent="0.45">
      <c r="A4830" t="s">
        <v>4832</v>
      </c>
      <c r="B4830">
        <v>33.622286600000002</v>
      </c>
      <c r="C4830">
        <v>-117.931033</v>
      </c>
      <c r="D4830" t="s">
        <v>5</v>
      </c>
    </row>
    <row r="4831" spans="1:4" x14ac:dyDescent="0.45">
      <c r="A4831" t="s">
        <v>4833</v>
      </c>
      <c r="B4831">
        <v>33.621758499999999</v>
      </c>
      <c r="C4831">
        <v>-117.9312161</v>
      </c>
      <c r="D4831" t="str">
        <f>HYPERLINK("https://streetviewpixels-pa.googleapis.com/v1/thumbnail?panoid=HdnGBrnvUYoe6zlEwLmGIg&amp;cb_client=search.gws-prod.gps&amp;w=408&amp;h=240&amp;yaw=94.25822&amp;pitch=0&amp;thumbfov=100", "link")</f>
        <v>link</v>
      </c>
    </row>
    <row r="4832" spans="1:4" x14ac:dyDescent="0.45">
      <c r="A4832" t="s">
        <v>4834</v>
      </c>
      <c r="B4832">
        <v>33.6225551</v>
      </c>
      <c r="C4832">
        <v>-117.93322980000001</v>
      </c>
      <c r="D4832" t="s">
        <v>5</v>
      </c>
    </row>
    <row r="4833" spans="1:4" x14ac:dyDescent="0.45">
      <c r="A4833" t="s">
        <v>4835</v>
      </c>
      <c r="B4833">
        <v>33.667065999999998</v>
      </c>
      <c r="C4833">
        <v>-117.8957893</v>
      </c>
      <c r="D4833" t="s">
        <v>5</v>
      </c>
    </row>
    <row r="4834" spans="1:4" x14ac:dyDescent="0.45">
      <c r="A4834" t="s">
        <v>4836</v>
      </c>
      <c r="B4834">
        <v>33.656983400000001</v>
      </c>
      <c r="C4834">
        <v>-117.92059690000001</v>
      </c>
      <c r="D4834" t="s">
        <v>5</v>
      </c>
    </row>
    <row r="4835" spans="1:4" x14ac:dyDescent="0.45">
      <c r="A4835" t="s">
        <v>4837</v>
      </c>
      <c r="B4835">
        <v>33.658293</v>
      </c>
      <c r="C4835">
        <v>-117.8855353</v>
      </c>
      <c r="D4835" t="str">
        <f>HYPERLINK("https://streetviewpixels-pa.googleapis.com/v1/thumbnail?panoid=lg_4tuIsPc0r5bko_rcWQw&amp;cb_client=search.gws-prod.gps&amp;w=408&amp;h=240&amp;yaw=88.63146&amp;pitch=0&amp;thumbfov=100", "link")</f>
        <v>link</v>
      </c>
    </row>
    <row r="4836" spans="1:4" x14ac:dyDescent="0.45">
      <c r="A4836" t="s">
        <v>4838</v>
      </c>
      <c r="B4836">
        <v>33.664677400000002</v>
      </c>
      <c r="C4836">
        <v>-117.9062258</v>
      </c>
      <c r="D4836" t="s">
        <v>5</v>
      </c>
    </row>
    <row r="4837" spans="1:4" x14ac:dyDescent="0.45">
      <c r="A4837" t="s">
        <v>4839</v>
      </c>
      <c r="B4837">
        <v>33.664748899999999</v>
      </c>
      <c r="C4837">
        <v>-117.90329629999999</v>
      </c>
      <c r="D4837" t="s">
        <v>5</v>
      </c>
    </row>
    <row r="4838" spans="1:4" x14ac:dyDescent="0.45">
      <c r="A4838" t="s">
        <v>4840</v>
      </c>
      <c r="B4838">
        <v>33.666057299999999</v>
      </c>
      <c r="C4838">
        <v>-117.9010042</v>
      </c>
      <c r="D4838" t="s">
        <v>5</v>
      </c>
    </row>
    <row r="4839" spans="1:4" x14ac:dyDescent="0.45">
      <c r="A4839" t="s">
        <v>4841</v>
      </c>
      <c r="B4839">
        <v>33.667110999999998</v>
      </c>
      <c r="C4839">
        <v>-117.89890200000001</v>
      </c>
      <c r="D4839" t="s">
        <v>5</v>
      </c>
    </row>
    <row r="4840" spans="1:4" x14ac:dyDescent="0.45">
      <c r="A4840" t="s">
        <v>4842</v>
      </c>
      <c r="B4840">
        <v>33.6754879</v>
      </c>
      <c r="C4840">
        <v>-117.8639268</v>
      </c>
      <c r="D4840" t="str">
        <f>HYPERLINK("https://streetviewpixels-pa.googleapis.com/v1/thumbnail?panoid=SC_B7zx-d7suvntwL9ZZyQ&amp;cb_client=search.gws-prod.gps&amp;w=408&amp;h=240&amp;yaw=229.19252&amp;pitch=0&amp;thumbfov=100", "link")</f>
        <v>link</v>
      </c>
    </row>
    <row r="4841" spans="1:4" x14ac:dyDescent="0.45">
      <c r="A4841" t="s">
        <v>4843</v>
      </c>
      <c r="B4841">
        <v>33.677498800000002</v>
      </c>
      <c r="C4841">
        <v>-117.8616588</v>
      </c>
      <c r="D4841" t="str">
        <f>HYPERLINK("https://streetviewpixels-pa.googleapis.com/v1/thumbnail?panoid=wuHVWVtfFm6GqQgUFNsAZw&amp;cb_client=search.gws-prod.gps&amp;w=408&amp;h=240&amp;yaw=283.38666&amp;pitch=0&amp;thumbfov=100", "link")</f>
        <v>link</v>
      </c>
    </row>
    <row r="4842" spans="1:4" x14ac:dyDescent="0.45">
      <c r="A4842" t="s">
        <v>4844</v>
      </c>
      <c r="B4842">
        <v>33.679114599999998</v>
      </c>
      <c r="C4842">
        <v>-117.860699</v>
      </c>
      <c r="D4842" t="str">
        <f>HYPERLINK("https://streetviewpixels-pa.googleapis.com/v1/thumbnail?panoid=ysTwnuhMcdoVHZ4U3QZGwA&amp;cb_client=search.gws-prod.gps&amp;w=408&amp;h=240&amp;yaw=179.78658&amp;pitch=0&amp;thumbfov=100", "link")</f>
        <v>link</v>
      </c>
    </row>
    <row r="4843" spans="1:4" x14ac:dyDescent="0.45">
      <c r="A4843" t="s">
        <v>4845</v>
      </c>
      <c r="B4843">
        <v>33.680953299999999</v>
      </c>
      <c r="C4843">
        <v>-117.8594746</v>
      </c>
      <c r="D4843" t="str">
        <f>HYPERLINK("https://streetviewpixels-pa.googleapis.com/v1/thumbnail?panoid=WqhNGJhBu5_pXvcJBEIseg&amp;cb_client=search.gws-prod.gps&amp;w=408&amp;h=240&amp;yaw=47.335304&amp;pitch=0&amp;thumbfov=100", "link")</f>
        <v>link</v>
      </c>
    </row>
    <row r="4844" spans="1:4" x14ac:dyDescent="0.45">
      <c r="A4844" t="s">
        <v>4846</v>
      </c>
      <c r="B4844">
        <v>33.676699200000002</v>
      </c>
      <c r="C4844">
        <v>-117.8596361</v>
      </c>
      <c r="D4844" t="str">
        <f>HYPERLINK("https://streetviewpixels-pa.googleapis.com/v1/thumbnail?panoid=aPAPwOLKzDTToti_MEcW2w&amp;cb_client=search.gws-prod.gps&amp;w=408&amp;h=240&amp;yaw=40.469673&amp;pitch=0&amp;thumbfov=100", "link")</f>
        <v>link</v>
      </c>
    </row>
    <row r="4845" spans="1:4" x14ac:dyDescent="0.45">
      <c r="A4845" t="s">
        <v>4847</v>
      </c>
      <c r="B4845">
        <v>33.677811499999898</v>
      </c>
      <c r="C4845">
        <v>-117.8589384</v>
      </c>
      <c r="D4845" t="str">
        <f>HYPERLINK("https://streetviewpixels-pa.googleapis.com/v1/thumbnail?panoid=Rx0oj-pwPIxlcI00VfSTJQ&amp;cb_client=search.gws-prod.gps&amp;w=408&amp;h=240&amp;yaw=222.67258&amp;pitch=0&amp;thumbfov=100", "link")</f>
        <v>link</v>
      </c>
    </row>
    <row r="4846" spans="1:4" x14ac:dyDescent="0.45">
      <c r="A4846" t="s">
        <v>4848</v>
      </c>
      <c r="B4846">
        <v>33.685594899999998</v>
      </c>
      <c r="C4846">
        <v>-117.85744560000001</v>
      </c>
      <c r="D4846" t="str">
        <f>HYPERLINK("https://streetviewpixels-pa.googleapis.com/v1/thumbnail?panoid=T_OXydJUtDrxik9xzwAL9w&amp;cb_client=search.gws-prod.gps&amp;w=408&amp;h=240&amp;yaw=24.34793&amp;pitch=0&amp;thumbfov=100", "link")</f>
        <v>link</v>
      </c>
    </row>
    <row r="4847" spans="1:4" x14ac:dyDescent="0.45">
      <c r="A4847" t="s">
        <v>4849</v>
      </c>
      <c r="B4847">
        <v>33.672300999999997</v>
      </c>
      <c r="C4847">
        <v>-117.8624617</v>
      </c>
      <c r="D4847" t="str">
        <f>HYPERLINK("https://streetviewpixels-pa.googleapis.com/v1/thumbnail?panoid=DpVQ2kGVPIdmvT4X-8mt0w&amp;cb_client=search.gws-prod.gps&amp;w=408&amp;h=240&amp;yaw=279.7514&amp;pitch=0&amp;thumbfov=100", "link")</f>
        <v>link</v>
      </c>
    </row>
    <row r="4848" spans="1:4" x14ac:dyDescent="0.45">
      <c r="A4848" t="s">
        <v>4850</v>
      </c>
      <c r="B4848">
        <v>33.675586000000003</v>
      </c>
      <c r="C4848">
        <v>-117.8574826</v>
      </c>
      <c r="D4848" t="str">
        <f>HYPERLINK("https://streetviewpixels-pa.googleapis.com/v1/thumbnail?panoid=acEMMIyXjE2M3EIqekV-Iw&amp;cb_client=search.gws-prod.gps&amp;w=408&amp;h=240&amp;yaw=70.0477&amp;pitch=0&amp;thumbfov=100", "link")</f>
        <v>link</v>
      </c>
    </row>
    <row r="4849" spans="1:4" x14ac:dyDescent="0.45">
      <c r="A4849" t="s">
        <v>4851</v>
      </c>
      <c r="B4849">
        <v>33.701537700000003</v>
      </c>
      <c r="C4849">
        <v>-117.8641947</v>
      </c>
      <c r="D4849" t="str">
        <f>HYPERLINK("https://streetviewpixels-pa.googleapis.com/v1/thumbnail?panoid=HuxbLCvO66NkT0944Gx5ng&amp;cb_client=search.gws-prod.gps&amp;w=408&amp;h=240&amp;yaw=192.46838&amp;pitch=0&amp;thumbfov=100", "link")</f>
        <v>link</v>
      </c>
    </row>
    <row r="4850" spans="1:4" x14ac:dyDescent="0.45">
      <c r="A4850" t="s">
        <v>4852</v>
      </c>
      <c r="B4850">
        <v>33.821960599999997</v>
      </c>
      <c r="C4850">
        <v>-118.0862056</v>
      </c>
      <c r="D4850" t="s">
        <v>5</v>
      </c>
    </row>
    <row r="4851" spans="1:4" x14ac:dyDescent="0.45">
      <c r="A4851" t="s">
        <v>4853</v>
      </c>
      <c r="B4851">
        <v>33.794638900000002</v>
      </c>
      <c r="C4851">
        <v>-118.05135850000001</v>
      </c>
      <c r="D4851" t="s">
        <v>5</v>
      </c>
    </row>
    <row r="4852" spans="1:4" x14ac:dyDescent="0.45">
      <c r="A4852" t="s">
        <v>4854</v>
      </c>
      <c r="B4852">
        <v>33.7953185</v>
      </c>
      <c r="C4852">
        <v>-118.0567552</v>
      </c>
      <c r="D4852" t="s">
        <v>5</v>
      </c>
    </row>
    <row r="4853" spans="1:4" x14ac:dyDescent="0.45">
      <c r="A4853" t="s">
        <v>4855</v>
      </c>
      <c r="B4853">
        <v>33.794704600000003</v>
      </c>
      <c r="C4853">
        <v>-118.05680099999999</v>
      </c>
      <c r="D4853" t="s">
        <v>5</v>
      </c>
    </row>
    <row r="4854" spans="1:4" x14ac:dyDescent="0.45">
      <c r="A4854" t="s">
        <v>4856</v>
      </c>
      <c r="B4854">
        <v>33.827162000000001</v>
      </c>
      <c r="C4854">
        <v>-118.0898637</v>
      </c>
      <c r="D4854" t="s">
        <v>5</v>
      </c>
    </row>
    <row r="4855" spans="1:4" x14ac:dyDescent="0.45">
      <c r="A4855" t="s">
        <v>4857</v>
      </c>
      <c r="B4855">
        <v>33.794623799999997</v>
      </c>
      <c r="C4855">
        <v>-118.0579443</v>
      </c>
      <c r="D4855" t="s">
        <v>5</v>
      </c>
    </row>
    <row r="4856" spans="1:4" x14ac:dyDescent="0.45">
      <c r="A4856" t="s">
        <v>4858</v>
      </c>
      <c r="B4856">
        <v>33.825246999999997</v>
      </c>
      <c r="C4856">
        <v>-118.0901381</v>
      </c>
      <c r="D4856" t="s">
        <v>5</v>
      </c>
    </row>
    <row r="4857" spans="1:4" x14ac:dyDescent="0.45">
      <c r="A4857" t="s">
        <v>4859</v>
      </c>
      <c r="B4857">
        <v>33.821790700000001</v>
      </c>
      <c r="C4857">
        <v>-118.0894979</v>
      </c>
      <c r="D4857" t="s">
        <v>5</v>
      </c>
    </row>
    <row r="4858" spans="1:4" x14ac:dyDescent="0.45">
      <c r="A4858" t="s">
        <v>4860</v>
      </c>
      <c r="B4858">
        <v>33.794545399999997</v>
      </c>
      <c r="C4858">
        <v>-118.0608713</v>
      </c>
      <c r="D4858" t="s">
        <v>5</v>
      </c>
    </row>
    <row r="4859" spans="1:4" x14ac:dyDescent="0.45">
      <c r="A4859" t="s">
        <v>4861</v>
      </c>
      <c r="B4859">
        <v>33.795937799999997</v>
      </c>
      <c r="C4859">
        <v>-118.0666336</v>
      </c>
      <c r="D4859" t="s">
        <v>5</v>
      </c>
    </row>
    <row r="4860" spans="1:4" x14ac:dyDescent="0.45">
      <c r="A4860" t="s">
        <v>4862</v>
      </c>
      <c r="B4860">
        <v>33.811685099999998</v>
      </c>
      <c r="C4860">
        <v>-118.0863428</v>
      </c>
      <c r="D4860" t="s">
        <v>5</v>
      </c>
    </row>
    <row r="4861" spans="1:4" x14ac:dyDescent="0.45">
      <c r="A4861" t="s">
        <v>4863</v>
      </c>
      <c r="B4861">
        <v>33.809301400000003</v>
      </c>
      <c r="C4861">
        <v>-118.0857484</v>
      </c>
      <c r="D4861" t="s">
        <v>5</v>
      </c>
    </row>
    <row r="4862" spans="1:4" x14ac:dyDescent="0.45">
      <c r="A4862" t="s">
        <v>4864</v>
      </c>
      <c r="B4862">
        <v>33.8110091</v>
      </c>
      <c r="C4862">
        <v>-118.0879432</v>
      </c>
      <c r="D4862" t="s">
        <v>5</v>
      </c>
    </row>
    <row r="4863" spans="1:4" x14ac:dyDescent="0.45">
      <c r="A4863" t="s">
        <v>4865</v>
      </c>
      <c r="B4863">
        <v>33.8212092999999</v>
      </c>
      <c r="C4863">
        <v>-118.07077219999999</v>
      </c>
      <c r="D4863" t="str">
        <f>HYPERLINK("https://streetviewpixels-pa.googleapis.com/v1/thumbnail?panoid=jBUyPWdmFdtwT31DuQrXCg&amp;cb_client=search.gws-prod.gps&amp;w=408&amp;h=240&amp;yaw=177.66748&amp;pitch=0&amp;thumbfov=100", "link")</f>
        <v>link</v>
      </c>
    </row>
    <row r="4864" spans="1:4" x14ac:dyDescent="0.45">
      <c r="A4864" t="s">
        <v>4866</v>
      </c>
      <c r="B4864">
        <v>33.821532900000001</v>
      </c>
      <c r="C4864">
        <v>-118.0827304</v>
      </c>
      <c r="D4864" t="s">
        <v>5</v>
      </c>
    </row>
    <row r="4865" spans="1:4" x14ac:dyDescent="0.45">
      <c r="A4865" t="s">
        <v>4867</v>
      </c>
      <c r="B4865">
        <v>33.799105099999998</v>
      </c>
      <c r="C4865">
        <v>-118.0563894</v>
      </c>
      <c r="D4865" t="s">
        <v>5</v>
      </c>
    </row>
    <row r="4866" spans="1:4" x14ac:dyDescent="0.45">
      <c r="A4866" t="s">
        <v>4868</v>
      </c>
      <c r="B4866">
        <v>33.798244500000003</v>
      </c>
      <c r="C4866">
        <v>-118.05401120000001</v>
      </c>
      <c r="D4866" t="s">
        <v>5</v>
      </c>
    </row>
    <row r="4867" spans="1:4" x14ac:dyDescent="0.45">
      <c r="A4867" t="s">
        <v>4869</v>
      </c>
      <c r="B4867">
        <v>33.796960299999903</v>
      </c>
      <c r="C4867">
        <v>-118.0494376</v>
      </c>
      <c r="D4867" t="s">
        <v>5</v>
      </c>
    </row>
    <row r="4868" spans="1:4" x14ac:dyDescent="0.45">
      <c r="A4868" t="s">
        <v>4870</v>
      </c>
      <c r="B4868">
        <v>33.7972216</v>
      </c>
      <c r="C4868">
        <v>-118.05620639999999</v>
      </c>
      <c r="D4868" t="s">
        <v>5</v>
      </c>
    </row>
    <row r="4869" spans="1:4" x14ac:dyDescent="0.45">
      <c r="A4869" t="s">
        <v>4871</v>
      </c>
      <c r="B4869">
        <v>33.816651999999998</v>
      </c>
      <c r="C4869">
        <v>-118.0831419</v>
      </c>
      <c r="D4869" t="s">
        <v>5</v>
      </c>
    </row>
    <row r="4870" spans="1:4" x14ac:dyDescent="0.45">
      <c r="A4870" t="s">
        <v>4872</v>
      </c>
      <c r="B4870">
        <v>33.818325299999998</v>
      </c>
      <c r="C4870">
        <v>-118.08401069999999</v>
      </c>
      <c r="D4870" t="s">
        <v>5</v>
      </c>
    </row>
    <row r="4871" spans="1:4" x14ac:dyDescent="0.45">
      <c r="A4871" t="s">
        <v>4873</v>
      </c>
      <c r="B4871">
        <v>33.798948299999999</v>
      </c>
      <c r="C4871">
        <v>-118.06224330000001</v>
      </c>
      <c r="D4871" t="s">
        <v>5</v>
      </c>
    </row>
    <row r="4872" spans="1:4" x14ac:dyDescent="0.45">
      <c r="A4872" t="s">
        <v>4874</v>
      </c>
      <c r="B4872">
        <v>33.796554</v>
      </c>
      <c r="C4872">
        <v>-118.0533709</v>
      </c>
      <c r="D4872" t="s">
        <v>5</v>
      </c>
    </row>
    <row r="4873" spans="1:4" x14ac:dyDescent="0.45">
      <c r="A4873" t="s">
        <v>4875</v>
      </c>
      <c r="B4873">
        <v>33.7965728</v>
      </c>
      <c r="C4873">
        <v>-118.0549259</v>
      </c>
      <c r="D4873" t="s">
        <v>5</v>
      </c>
    </row>
    <row r="4874" spans="1:4" x14ac:dyDescent="0.45">
      <c r="A4874" t="s">
        <v>4876</v>
      </c>
      <c r="B4874">
        <v>33.804903400000001</v>
      </c>
      <c r="C4874">
        <v>-118.09258440000001</v>
      </c>
      <c r="D4874" t="s">
        <v>5</v>
      </c>
    </row>
    <row r="4875" spans="1:4" x14ac:dyDescent="0.45">
      <c r="A4875" t="s">
        <v>4877</v>
      </c>
      <c r="B4875">
        <v>33.797562599999999</v>
      </c>
      <c r="C4875">
        <v>-118.09832280000001</v>
      </c>
      <c r="D4875" t="s">
        <v>5</v>
      </c>
    </row>
    <row r="4876" spans="1:4" x14ac:dyDescent="0.45">
      <c r="A4876" t="s">
        <v>4878</v>
      </c>
      <c r="B4876">
        <v>33.802217499999998</v>
      </c>
      <c r="C4876">
        <v>-118.09589939999999</v>
      </c>
      <c r="D4876" t="s">
        <v>5</v>
      </c>
    </row>
    <row r="4877" spans="1:4" x14ac:dyDescent="0.45">
      <c r="A4877" t="s">
        <v>4879</v>
      </c>
      <c r="B4877">
        <v>33.799175599999998</v>
      </c>
      <c r="C4877">
        <v>-118.09845989999999</v>
      </c>
      <c r="D4877" t="s">
        <v>5</v>
      </c>
    </row>
    <row r="4878" spans="1:4" x14ac:dyDescent="0.45">
      <c r="A4878" t="s">
        <v>4880</v>
      </c>
      <c r="B4878">
        <v>33.741292000000001</v>
      </c>
      <c r="C4878">
        <v>-118.0253242</v>
      </c>
      <c r="D4878" t="str">
        <f>HYPERLINK("https://streetviewpixels-pa.googleapis.com/v1/thumbnail?panoid=prQxlgeny93jiKEZSylN_g&amp;cb_client=search.gws-prod.gps&amp;w=408&amp;h=240&amp;yaw=131.7608&amp;pitch=0&amp;thumbfov=100", "link")</f>
        <v>link</v>
      </c>
    </row>
    <row r="4879" spans="1:4" x14ac:dyDescent="0.45">
      <c r="A4879" t="s">
        <v>4881</v>
      </c>
      <c r="B4879">
        <v>33.773142</v>
      </c>
      <c r="C4879">
        <v>-117.9962314</v>
      </c>
      <c r="D4879" t="str">
        <f>HYPERLINK("https://streetviewpixels-pa.googleapis.com/v1/thumbnail?panoid=ZFOdc3JAqJz-x_D63pMe2Q&amp;cb_client=search.gws-prod.gps&amp;w=408&amp;h=240&amp;yaw=287.45322&amp;pitch=0&amp;thumbfov=100", "link")</f>
        <v>link</v>
      </c>
    </row>
    <row r="4880" spans="1:4" x14ac:dyDescent="0.45">
      <c r="A4880" t="s">
        <v>4882</v>
      </c>
      <c r="B4880">
        <v>33.806174400000003</v>
      </c>
      <c r="C4880">
        <v>-118.0980941</v>
      </c>
      <c r="D4880" t="s">
        <v>5</v>
      </c>
    </row>
    <row r="4881" spans="1:4" x14ac:dyDescent="0.45">
      <c r="A4881" t="s">
        <v>4883</v>
      </c>
      <c r="B4881">
        <v>33.808069799999998</v>
      </c>
      <c r="C4881">
        <v>-118.09855140000001</v>
      </c>
      <c r="D4881" t="s">
        <v>5</v>
      </c>
    </row>
    <row r="4882" spans="1:4" x14ac:dyDescent="0.45">
      <c r="A4882" t="s">
        <v>4884</v>
      </c>
      <c r="B4882">
        <v>33.808881200000002</v>
      </c>
      <c r="C4882">
        <v>-118.09866409999999</v>
      </c>
      <c r="D4882" t="str">
        <f>HYPERLINK("https://streetviewpixels-pa.googleapis.com/v1/thumbnail?panoid=ZG8z2V2rHOLmreypIHCqzg&amp;cb_client=search.gws-prod.gps&amp;w=408&amp;h=240&amp;yaw=25.259817&amp;pitch=0&amp;thumbfov=100", "link")</f>
        <v>link</v>
      </c>
    </row>
    <row r="4883" spans="1:4" x14ac:dyDescent="0.45">
      <c r="A4883" t="s">
        <v>4885</v>
      </c>
      <c r="B4883">
        <v>33.7824952</v>
      </c>
      <c r="C4883">
        <v>-118.1084273</v>
      </c>
      <c r="D4883" t="s">
        <v>5</v>
      </c>
    </row>
    <row r="4884" spans="1:4" x14ac:dyDescent="0.45">
      <c r="A4884" t="s">
        <v>4886</v>
      </c>
      <c r="B4884">
        <v>33.782079199999998</v>
      </c>
      <c r="C4884">
        <v>-118.0503118</v>
      </c>
      <c r="D4884" t="s">
        <v>5</v>
      </c>
    </row>
    <row r="4885" spans="1:4" x14ac:dyDescent="0.45">
      <c r="A4885" t="s">
        <v>4887</v>
      </c>
      <c r="B4885">
        <v>33.7818866</v>
      </c>
      <c r="C4885">
        <v>-118.0490982</v>
      </c>
      <c r="D4885" t="str">
        <f>HYPERLINK("https://streetviewpixels-pa.googleapis.com/v1/thumbnail?panoid=b8P-kIz6HqUJLGPq9UpjHA&amp;cb_client=search.gws-prod.gps&amp;w=408&amp;h=240&amp;yaw=354.4113&amp;pitch=0&amp;thumbfov=100", "link")</f>
        <v>link</v>
      </c>
    </row>
    <row r="4886" spans="1:4" x14ac:dyDescent="0.45">
      <c r="A4886" t="s">
        <v>4888</v>
      </c>
      <c r="B4886">
        <v>33.775552400000002</v>
      </c>
      <c r="C4886">
        <v>-118.06489569999999</v>
      </c>
      <c r="D4886" t="s">
        <v>5</v>
      </c>
    </row>
    <row r="4887" spans="1:4" x14ac:dyDescent="0.45">
      <c r="A4887" t="s">
        <v>4889</v>
      </c>
      <c r="B4887">
        <v>33.776731499999997</v>
      </c>
      <c r="C4887">
        <v>-118.0344812</v>
      </c>
      <c r="D4887" t="str">
        <f>HYPERLINK("https://streetviewpixels-pa.googleapis.com/v1/thumbnail?panoid=4PmUrOYipgqnxTpDwstyaw&amp;cb_client=search.gws-prod.gps&amp;w=408&amp;h=240&amp;yaw=167.66357&amp;pitch=0&amp;thumbfov=100", "link")</f>
        <v>link</v>
      </c>
    </row>
    <row r="4888" spans="1:4" x14ac:dyDescent="0.45">
      <c r="A4888" t="s">
        <v>4890</v>
      </c>
      <c r="B4888">
        <v>33.764695699999997</v>
      </c>
      <c r="C4888">
        <v>-118.0355333</v>
      </c>
      <c r="D4888" t="s">
        <v>5</v>
      </c>
    </row>
    <row r="4889" spans="1:4" x14ac:dyDescent="0.45">
      <c r="A4889" t="s">
        <v>4891</v>
      </c>
      <c r="B4889">
        <v>33.783355999999998</v>
      </c>
      <c r="C4889">
        <v>-118.0818158</v>
      </c>
      <c r="D4889" t="s">
        <v>5</v>
      </c>
    </row>
    <row r="4890" spans="1:4" x14ac:dyDescent="0.45">
      <c r="A4890" t="s">
        <v>4892</v>
      </c>
      <c r="B4890">
        <v>33.746441599999997</v>
      </c>
      <c r="C4890">
        <v>-118.0371799</v>
      </c>
      <c r="D4890" t="s">
        <v>5</v>
      </c>
    </row>
    <row r="4891" spans="1:4" x14ac:dyDescent="0.45">
      <c r="A4891" t="s">
        <v>4893</v>
      </c>
      <c r="B4891">
        <v>33.674424600000002</v>
      </c>
      <c r="C4891">
        <v>-117.64256760000001</v>
      </c>
      <c r="D4891" t="s">
        <v>5</v>
      </c>
    </row>
    <row r="4892" spans="1:4" x14ac:dyDescent="0.45">
      <c r="A4892" t="s">
        <v>4894</v>
      </c>
      <c r="B4892">
        <v>33.658277900000002</v>
      </c>
      <c r="C4892">
        <v>-117.63502699999999</v>
      </c>
      <c r="D4892" t="str">
        <f>HYPERLINK("https://streetviewpixels-pa.googleapis.com/v1/thumbnail?panoid=JFFUBkOL-CDKYsEIDq6ezA&amp;cb_client=search.gws-prod.gps&amp;w=408&amp;h=240&amp;yaw=16.871885&amp;pitch=0&amp;thumbfov=100", "link")</f>
        <v>link</v>
      </c>
    </row>
    <row r="4893" spans="1:4" x14ac:dyDescent="0.45">
      <c r="A4893" t="s">
        <v>4895</v>
      </c>
      <c r="B4893">
        <v>33.681092499999998</v>
      </c>
      <c r="C4893">
        <v>-117.66452289999999</v>
      </c>
      <c r="D4893" t="s">
        <v>5</v>
      </c>
    </row>
    <row r="4894" spans="1:4" x14ac:dyDescent="0.45">
      <c r="A4894" t="s">
        <v>4896</v>
      </c>
      <c r="B4894">
        <v>33.677940200000002</v>
      </c>
      <c r="C4894">
        <v>-117.6736045</v>
      </c>
      <c r="D4894" t="str">
        <f>HYPERLINK("https://streetviewpixels-pa.googleapis.com/v1/thumbnail?panoid=j9Q6-vp6cC5ISAESC5M7Bw&amp;cb_client=search.gws-prod.gps&amp;w=408&amp;h=240&amp;yaw=134.00786&amp;pitch=0&amp;thumbfov=100", "link")</f>
        <v>link</v>
      </c>
    </row>
    <row r="4895" spans="1:4" x14ac:dyDescent="0.45">
      <c r="A4895" t="s">
        <v>4897</v>
      </c>
      <c r="B4895">
        <v>33.679252599999998</v>
      </c>
      <c r="C4895">
        <v>-117.6787076</v>
      </c>
      <c r="D4895" t="s">
        <v>5</v>
      </c>
    </row>
    <row r="4896" spans="1:4" x14ac:dyDescent="0.45">
      <c r="A4896" t="s">
        <v>4898</v>
      </c>
      <c r="B4896">
        <v>33.633317099999999</v>
      </c>
      <c r="C4896">
        <v>-117.6556126</v>
      </c>
      <c r="D4896" t="s">
        <v>5</v>
      </c>
    </row>
    <row r="4897" spans="1:4" x14ac:dyDescent="0.45">
      <c r="A4897" t="s">
        <v>4899</v>
      </c>
      <c r="B4897">
        <v>33.632644399999997</v>
      </c>
      <c r="C4897">
        <v>-117.6458679</v>
      </c>
      <c r="D4897" t="s">
        <v>5</v>
      </c>
    </row>
    <row r="4898" spans="1:4" x14ac:dyDescent="0.45">
      <c r="A4898" t="s">
        <v>4900</v>
      </c>
      <c r="B4898">
        <v>33.646443699999999</v>
      </c>
      <c r="C4898">
        <v>-117.6892252</v>
      </c>
      <c r="D4898" t="s">
        <v>5</v>
      </c>
    </row>
    <row r="4899" spans="1:4" x14ac:dyDescent="0.45">
      <c r="A4899" t="s">
        <v>4901</v>
      </c>
      <c r="B4899">
        <v>33.651507700000003</v>
      </c>
      <c r="C4899">
        <v>-117.6013427</v>
      </c>
      <c r="D4899" t="s">
        <v>5</v>
      </c>
    </row>
    <row r="4900" spans="1:4" x14ac:dyDescent="0.45">
      <c r="A4900" t="s">
        <v>4902</v>
      </c>
      <c r="B4900">
        <v>33.651548499999997</v>
      </c>
      <c r="C4900">
        <v>-117.6011475</v>
      </c>
      <c r="D4900" t="str">
        <f>HYPERLINK("https://streetviewpixels-pa.googleapis.com/v1/thumbnail?panoid=4L58AiFfNA_cZhp5gMlmnw&amp;cb_client=search.gws-prod.gps&amp;w=408&amp;h=240&amp;yaw=226.06967&amp;pitch=0&amp;thumbfov=100", "link")</f>
        <v>link</v>
      </c>
    </row>
    <row r="4901" spans="1:4" x14ac:dyDescent="0.45">
      <c r="A4901" t="s">
        <v>4903</v>
      </c>
      <c r="B4901">
        <v>33.620311200000003</v>
      </c>
      <c r="C4901">
        <v>-117.67487800000001</v>
      </c>
      <c r="D4901" t="str">
        <f>HYPERLINK("https://streetviewpixels-pa.googleapis.com/v1/thumbnail?panoid=HZ2WM--dBdd-9Deri4581A&amp;cb_client=search.gws-prod.gps&amp;w=408&amp;h=240&amp;yaw=1.288025&amp;pitch=0&amp;thumbfov=100", "link")</f>
        <v>link</v>
      </c>
    </row>
    <row r="4902" spans="1:4" x14ac:dyDescent="0.45">
      <c r="A4902" t="s">
        <v>4904</v>
      </c>
      <c r="B4902">
        <v>33.619618099999897</v>
      </c>
      <c r="C4902">
        <v>-117.67461590000001</v>
      </c>
      <c r="D4902" t="str">
        <f>HYPERLINK("https://streetviewpixels-pa.googleapis.com/v1/thumbnail?panoid=tP68dEpAySh95-UyvLxsYA&amp;cb_client=search.gws-prod.gps&amp;w=408&amp;h=240&amp;yaw=29.328543&amp;pitch=0&amp;thumbfov=100", "link")</f>
        <v>link</v>
      </c>
    </row>
    <row r="4903" spans="1:4" x14ac:dyDescent="0.45">
      <c r="A4903" t="s">
        <v>4905</v>
      </c>
      <c r="B4903">
        <v>33.637161899999903</v>
      </c>
      <c r="C4903">
        <v>-117.5967057</v>
      </c>
      <c r="D4903" t="str">
        <f>HYPERLINK("https://streetviewpixels-pa.googleapis.com/v1/thumbnail?panoid=x7ocgfZSEiNdb286xGiPuw&amp;cb_client=search.gws-prod.gps&amp;w=408&amp;h=240&amp;yaw=266.8768&amp;pitch=0&amp;thumbfov=100", "link")</f>
        <v>link</v>
      </c>
    </row>
    <row r="4904" spans="1:4" x14ac:dyDescent="0.45">
      <c r="A4904" t="s">
        <v>4906</v>
      </c>
      <c r="B4904">
        <v>33.636421499999997</v>
      </c>
      <c r="C4904">
        <v>-117.5966499</v>
      </c>
      <c r="D4904" t="s">
        <v>5</v>
      </c>
    </row>
    <row r="4905" spans="1:4" x14ac:dyDescent="0.45">
      <c r="A4905" t="s">
        <v>4907</v>
      </c>
      <c r="B4905">
        <v>33.690453599999998</v>
      </c>
      <c r="C4905">
        <v>-117.7067761</v>
      </c>
      <c r="D4905" t="s">
        <v>5</v>
      </c>
    </row>
    <row r="4906" spans="1:4" x14ac:dyDescent="0.45">
      <c r="A4906" t="s">
        <v>4908</v>
      </c>
      <c r="B4906">
        <v>33.652970199999999</v>
      </c>
      <c r="C4906">
        <v>-117.7138727</v>
      </c>
      <c r="D4906" t="str">
        <f>HYPERLINK("https://streetviewpixels-pa.googleapis.com/v1/thumbnail?panoid=9ehf0j9D0yZQRkzeQjV-XQ&amp;cb_client=search.gws-prod.gps&amp;w=408&amp;h=240&amp;yaw=184.53287&amp;pitch=0&amp;thumbfov=100", "link")</f>
        <v>link</v>
      </c>
    </row>
    <row r="4907" spans="1:4" x14ac:dyDescent="0.45">
      <c r="A4907" t="s">
        <v>4909</v>
      </c>
      <c r="B4907">
        <v>33.641454400000001</v>
      </c>
      <c r="C4907">
        <v>-117.7144646</v>
      </c>
      <c r="D4907" t="str">
        <f>HYPERLINK("https://streetviewpixels-pa.googleapis.com/v1/thumbnail?panoid=wpMrA86VxwDSBCoIr3rDZw&amp;cb_client=search.gws-prod.gps&amp;w=408&amp;h=240&amp;yaw=269.69513&amp;pitch=0&amp;thumbfov=100", "link")</f>
        <v>link</v>
      </c>
    </row>
    <row r="4908" spans="1:4" x14ac:dyDescent="0.45">
      <c r="A4908" t="s">
        <v>4910</v>
      </c>
      <c r="B4908">
        <v>33.604078199999996</v>
      </c>
      <c r="C4908">
        <v>-117.64923330000001</v>
      </c>
      <c r="D4908" t="str">
        <f>HYPERLINK("https://streetviewpixels-pa.googleapis.com/v1/thumbnail?panoid=_hLvpAH3di4ZRDi2t1fDFg&amp;cb_client=search.gws-prod.gps&amp;w=408&amp;h=240&amp;yaw=301.2854&amp;pitch=0&amp;thumbfov=100", "link")</f>
        <v>link</v>
      </c>
    </row>
    <row r="4909" spans="1:4" x14ac:dyDescent="0.45">
      <c r="A4909" t="s">
        <v>4911</v>
      </c>
      <c r="B4909">
        <v>33.644989000000002</v>
      </c>
      <c r="C4909">
        <v>-117.57851170000001</v>
      </c>
      <c r="D4909" t="str">
        <f>HYPERLINK("https://streetviewpixels-pa.googleapis.com/v1/thumbnail?panoid=Af1ELRZwYytIWSw2TdEfVg&amp;cb_client=search.gws-prod.gps&amp;w=408&amp;h=240&amp;yaw=276.8611&amp;pitch=0&amp;thumbfov=100", "link")</f>
        <v>link</v>
      </c>
    </row>
    <row r="4910" spans="1:4" x14ac:dyDescent="0.45">
      <c r="A4910" t="s">
        <v>4912</v>
      </c>
      <c r="B4910">
        <v>33.664380899999998</v>
      </c>
      <c r="C4910">
        <v>-117.6493665</v>
      </c>
      <c r="D4910" t="s">
        <v>5</v>
      </c>
    </row>
    <row r="4911" spans="1:4" x14ac:dyDescent="0.45">
      <c r="A4911" t="s">
        <v>4913</v>
      </c>
      <c r="B4911">
        <v>33.664117900000001</v>
      </c>
      <c r="C4911">
        <v>-117.64916820000001</v>
      </c>
      <c r="D4911" t="s">
        <v>5</v>
      </c>
    </row>
    <row r="4912" spans="1:4" x14ac:dyDescent="0.45">
      <c r="A4912" t="s">
        <v>4914</v>
      </c>
      <c r="B4912">
        <v>33.665456099999901</v>
      </c>
      <c r="C4912">
        <v>-117.648741</v>
      </c>
      <c r="D4912" t="s">
        <v>5</v>
      </c>
    </row>
    <row r="4913" spans="1:4" x14ac:dyDescent="0.45">
      <c r="A4913" t="s">
        <v>4915</v>
      </c>
      <c r="B4913">
        <v>33.665497199999997</v>
      </c>
      <c r="C4913">
        <v>-117.6488015</v>
      </c>
      <c r="D4913" t="s">
        <v>5</v>
      </c>
    </row>
    <row r="4914" spans="1:4" x14ac:dyDescent="0.45">
      <c r="A4914" t="s">
        <v>4916</v>
      </c>
      <c r="B4914">
        <v>33.663564200000003</v>
      </c>
      <c r="C4914">
        <v>-117.6481601</v>
      </c>
      <c r="D4914" t="s">
        <v>5</v>
      </c>
    </row>
    <row r="4915" spans="1:4" x14ac:dyDescent="0.45">
      <c r="A4915" t="s">
        <v>4917</v>
      </c>
      <c r="B4915">
        <v>33.663415800000003</v>
      </c>
      <c r="C4915">
        <v>-117.6480681</v>
      </c>
      <c r="D4915" t="s">
        <v>5</v>
      </c>
    </row>
    <row r="4916" spans="1:4" x14ac:dyDescent="0.45">
      <c r="A4916" t="s">
        <v>4918</v>
      </c>
      <c r="B4916">
        <v>33.663069399999998</v>
      </c>
      <c r="C4916">
        <v>-117.6502897</v>
      </c>
      <c r="D4916" t="s">
        <v>5</v>
      </c>
    </row>
    <row r="4917" spans="1:4" x14ac:dyDescent="0.45">
      <c r="A4917" t="s">
        <v>4919</v>
      </c>
      <c r="B4917">
        <v>33.6629869</v>
      </c>
      <c r="C4917">
        <v>-117.65017659999999</v>
      </c>
      <c r="D4917" t="s">
        <v>5</v>
      </c>
    </row>
    <row r="4918" spans="1:4" x14ac:dyDescent="0.45">
      <c r="A4918" t="s">
        <v>4920</v>
      </c>
      <c r="B4918">
        <v>33.664883699999997</v>
      </c>
      <c r="C4918">
        <v>-117.6473347</v>
      </c>
      <c r="D4918" t="s">
        <v>5</v>
      </c>
    </row>
    <row r="4919" spans="1:4" x14ac:dyDescent="0.45">
      <c r="A4919" t="s">
        <v>4921</v>
      </c>
      <c r="B4919">
        <v>33.662756299999998</v>
      </c>
      <c r="C4919">
        <v>-117.6477931</v>
      </c>
      <c r="D4919" t="s">
        <v>5</v>
      </c>
    </row>
    <row r="4920" spans="1:4" x14ac:dyDescent="0.45">
      <c r="A4920" t="s">
        <v>4922</v>
      </c>
      <c r="B4920">
        <v>33.662773599999902</v>
      </c>
      <c r="C4920">
        <v>-117.64762039999999</v>
      </c>
      <c r="D4920" t="s">
        <v>5</v>
      </c>
    </row>
    <row r="4921" spans="1:4" x14ac:dyDescent="0.45">
      <c r="A4921" t="s">
        <v>4923</v>
      </c>
      <c r="B4921">
        <v>33.664054200000002</v>
      </c>
      <c r="C4921">
        <v>-117.6521017</v>
      </c>
      <c r="D4921" t="s">
        <v>5</v>
      </c>
    </row>
    <row r="4922" spans="1:4" x14ac:dyDescent="0.45">
      <c r="A4922" t="s">
        <v>4924</v>
      </c>
      <c r="B4922">
        <v>33.664724100000001</v>
      </c>
      <c r="C4922">
        <v>-117.6463263</v>
      </c>
      <c r="D4922" t="s">
        <v>5</v>
      </c>
    </row>
    <row r="4923" spans="1:4" x14ac:dyDescent="0.45">
      <c r="A4923" t="s">
        <v>4925</v>
      </c>
      <c r="B4923">
        <v>33.6649539</v>
      </c>
      <c r="C4923">
        <v>-117.6463329</v>
      </c>
      <c r="D4923" t="s">
        <v>5</v>
      </c>
    </row>
    <row r="4924" spans="1:4" x14ac:dyDescent="0.45">
      <c r="A4924" t="s">
        <v>4926</v>
      </c>
      <c r="B4924">
        <v>33.661706899999999</v>
      </c>
      <c r="C4924">
        <v>-117.6524684</v>
      </c>
      <c r="D4924" t="s">
        <v>5</v>
      </c>
    </row>
    <row r="4925" spans="1:4" x14ac:dyDescent="0.45">
      <c r="A4925" t="s">
        <v>4927</v>
      </c>
      <c r="B4925">
        <v>33.663599900000001</v>
      </c>
      <c r="C4925">
        <v>-117.64330099999999</v>
      </c>
      <c r="D4925" t="s">
        <v>5</v>
      </c>
    </row>
    <row r="4926" spans="1:4" x14ac:dyDescent="0.45">
      <c r="A4926" t="s">
        <v>4928</v>
      </c>
      <c r="B4926">
        <v>33.662809099999997</v>
      </c>
      <c r="C4926">
        <v>-117.64256760000001</v>
      </c>
      <c r="D4926" t="s">
        <v>5</v>
      </c>
    </row>
    <row r="4927" spans="1:4" x14ac:dyDescent="0.45">
      <c r="A4927" t="s">
        <v>4929</v>
      </c>
      <c r="B4927">
        <v>33.661309699999997</v>
      </c>
      <c r="C4927">
        <v>-117.64286920000001</v>
      </c>
      <c r="D4927" t="str">
        <f>HYPERLINK("https://lh5.googleusercontent.com/p/AF1QipMaeNg5cWrNwFb0wh5-WT3J7PLCdWnAdtGhHLjp=w426-h240-k-no", "link")</f>
        <v>link</v>
      </c>
    </row>
    <row r="4928" spans="1:4" x14ac:dyDescent="0.45">
      <c r="A4928" t="s">
        <v>4930</v>
      </c>
      <c r="B4928">
        <v>33.670343799999998</v>
      </c>
      <c r="C4928">
        <v>-117.6447678</v>
      </c>
      <c r="D4928" t="s">
        <v>5</v>
      </c>
    </row>
    <row r="4929" spans="1:4" x14ac:dyDescent="0.45">
      <c r="A4929" t="s">
        <v>4931</v>
      </c>
      <c r="B4929">
        <v>33.673917500000002</v>
      </c>
      <c r="C4929">
        <v>-117.6422927</v>
      </c>
      <c r="D4929" t="str">
        <f>HYPERLINK("https://lh5.googleusercontent.com/p/AF1QipNiD8JEzn4cS3apFqXgtnm9dcGiuN6ImwxyMEKF=w408-h306-k-no", "link")</f>
        <v>link</v>
      </c>
    </row>
    <row r="4930" spans="1:4" x14ac:dyDescent="0.45">
      <c r="A4930" t="s">
        <v>4932</v>
      </c>
      <c r="B4930">
        <v>33.727597600000003</v>
      </c>
      <c r="C4930">
        <v>-117.9515124</v>
      </c>
      <c r="D4930" t="s">
        <v>5</v>
      </c>
    </row>
    <row r="4931" spans="1:4" x14ac:dyDescent="0.45">
      <c r="A4931" t="s">
        <v>4933</v>
      </c>
      <c r="B4931">
        <v>33.722012300000003</v>
      </c>
      <c r="C4931">
        <v>-117.9381401</v>
      </c>
      <c r="D4931" t="str">
        <f>HYPERLINK("https://streetviewpixels-pa.googleapis.com/v1/thumbnail?panoid=GddUhzZ200O5QVU5p9J_mQ&amp;cb_client=search.gws-prod.gps&amp;w=408&amp;h=240&amp;yaw=320.99878&amp;pitch=0&amp;thumbfov=100", "link")</f>
        <v>link</v>
      </c>
    </row>
    <row r="4932" spans="1:4" x14ac:dyDescent="0.45">
      <c r="A4932" t="s">
        <v>4934</v>
      </c>
      <c r="B4932">
        <v>33.723407999999999</v>
      </c>
      <c r="C4932">
        <v>-117.9396138</v>
      </c>
      <c r="D4932" t="str">
        <f>HYPERLINK("https://streetviewpixels-pa.googleapis.com/v1/thumbnail?panoid=frfFp9ghwx9bncEeDc2bjA&amp;cb_client=search.gws-prod.gps&amp;w=408&amp;h=240&amp;yaw=193.2123&amp;pitch=0&amp;thumbfov=100", "link")</f>
        <v>link</v>
      </c>
    </row>
    <row r="4933" spans="1:4" x14ac:dyDescent="0.45">
      <c r="A4933" t="s">
        <v>4935</v>
      </c>
      <c r="B4933">
        <v>33.7255769</v>
      </c>
      <c r="C4933">
        <v>-117.9412844</v>
      </c>
      <c r="D4933" t="s">
        <v>5</v>
      </c>
    </row>
    <row r="4934" spans="1:4" x14ac:dyDescent="0.45">
      <c r="A4934" t="s">
        <v>4936</v>
      </c>
      <c r="B4934">
        <v>33.729826199999998</v>
      </c>
      <c r="C4934">
        <v>-117.94705759999999</v>
      </c>
      <c r="D4934" t="s">
        <v>5</v>
      </c>
    </row>
    <row r="4935" spans="1:4" x14ac:dyDescent="0.45">
      <c r="A4935" t="s">
        <v>4937</v>
      </c>
      <c r="B4935">
        <v>33.728296200000003</v>
      </c>
      <c r="C4935">
        <v>-117.94191739999999</v>
      </c>
      <c r="D4935" t="str">
        <f>HYPERLINK("https://streetviewpixels-pa.googleapis.com/v1/thumbnail?panoid=ocPOb9Ksm_mT-domvzt86w&amp;cb_client=search.gws-prod.gps&amp;w=408&amp;h=240&amp;yaw=300.10486&amp;pitch=0&amp;thumbfov=100", "link")</f>
        <v>link</v>
      </c>
    </row>
    <row r="4936" spans="1:4" x14ac:dyDescent="0.45">
      <c r="A4936" t="s">
        <v>4938</v>
      </c>
      <c r="B4936">
        <v>33.7274855</v>
      </c>
      <c r="C4936">
        <v>-117.9385843</v>
      </c>
      <c r="D4936" t="str">
        <f>HYPERLINK("https://streetviewpixels-pa.googleapis.com/v1/thumbnail?panoid=iviP9VxN8xLt8kL3uuoTFg&amp;cb_client=search.gws-prod.gps&amp;w=408&amp;h=240&amp;yaw=24.45754&amp;pitch=0&amp;thumbfov=100", "link")</f>
        <v>link</v>
      </c>
    </row>
    <row r="4937" spans="1:4" x14ac:dyDescent="0.45">
      <c r="A4937" t="s">
        <v>4939</v>
      </c>
      <c r="B4937">
        <v>33.704701800000002</v>
      </c>
      <c r="C4937">
        <v>-117.99541499999999</v>
      </c>
      <c r="D4937" t="s">
        <v>5</v>
      </c>
    </row>
    <row r="4938" spans="1:4" x14ac:dyDescent="0.45">
      <c r="A4938" t="s">
        <v>4940</v>
      </c>
      <c r="B4938">
        <v>33.7044061</v>
      </c>
      <c r="C4938">
        <v>-117.995964</v>
      </c>
      <c r="D4938" t="s">
        <v>5</v>
      </c>
    </row>
    <row r="4939" spans="1:4" x14ac:dyDescent="0.45">
      <c r="A4939" t="s">
        <v>4941</v>
      </c>
      <c r="B4939">
        <v>33.742283399999998</v>
      </c>
      <c r="C4939">
        <v>-117.96865</v>
      </c>
      <c r="D4939" t="s">
        <v>5</v>
      </c>
    </row>
    <row r="4940" spans="1:4" x14ac:dyDescent="0.45">
      <c r="A4940" t="s">
        <v>4942</v>
      </c>
      <c r="B4940">
        <v>33.705162000000001</v>
      </c>
      <c r="C4940">
        <v>-117.9994409</v>
      </c>
      <c r="D4940" t="str">
        <f>HYPERLINK("https://streetviewpixels-pa.googleapis.com/v1/thumbnail?panoid=Banr82pzYcS2kOjenJG_ZA&amp;cb_client=search.gws-prod.gps&amp;w=408&amp;h=240&amp;yaw=76.96351&amp;pitch=0&amp;thumbfov=100", "link")</f>
        <v>link</v>
      </c>
    </row>
    <row r="4941" spans="1:4" x14ac:dyDescent="0.45">
      <c r="A4941" t="s">
        <v>4943</v>
      </c>
      <c r="B4941">
        <v>33.706021799999903</v>
      </c>
      <c r="C4941">
        <v>-118.0000357</v>
      </c>
      <c r="D4941" t="s">
        <v>5</v>
      </c>
    </row>
    <row r="4942" spans="1:4" x14ac:dyDescent="0.45">
      <c r="A4942" t="s">
        <v>4944</v>
      </c>
      <c r="B4942">
        <v>33.706395899999997</v>
      </c>
      <c r="C4942">
        <v>-118.0011336</v>
      </c>
      <c r="D4942" t="s">
        <v>5</v>
      </c>
    </row>
    <row r="4943" spans="1:4" x14ac:dyDescent="0.45">
      <c r="A4943" t="s">
        <v>4945</v>
      </c>
      <c r="B4943">
        <v>33.737076000000002</v>
      </c>
      <c r="C4943">
        <v>-117.98648729999999</v>
      </c>
      <c r="D4943" t="str">
        <f>HYPERLINK("https://streetviewpixels-pa.googleapis.com/v1/thumbnail?panoid=6G9fAEhgmaHibttaIUKZig&amp;cb_client=search.gws-prod.gps&amp;w=408&amp;h=240&amp;yaw=79.572914&amp;pitch=0&amp;thumbfov=100", "link")</f>
        <v>link</v>
      </c>
    </row>
    <row r="4944" spans="1:4" x14ac:dyDescent="0.45">
      <c r="A4944" t="s">
        <v>4946</v>
      </c>
      <c r="B4944">
        <v>33.701158300000003</v>
      </c>
      <c r="C4944">
        <v>-118.003787</v>
      </c>
      <c r="D4944" t="s">
        <v>5</v>
      </c>
    </row>
    <row r="4945" spans="1:4" x14ac:dyDescent="0.45">
      <c r="A4945" t="s">
        <v>4947</v>
      </c>
      <c r="B4945">
        <v>33.708438600000001</v>
      </c>
      <c r="C4945">
        <v>-117.95595900000001</v>
      </c>
      <c r="D4945" t="str">
        <f>HYPERLINK("https://streetviewpixels-pa.googleapis.com/v1/thumbnail?panoid=lwoLUU1sSz4EVdPhQ7q3vw&amp;cb_client=search.gws-prod.gps&amp;w=408&amp;h=240&amp;yaw=217.79613&amp;pitch=0&amp;thumbfov=100", "link")</f>
        <v>link</v>
      </c>
    </row>
    <row r="4946" spans="1:4" x14ac:dyDescent="0.45">
      <c r="A4946" t="s">
        <v>4948</v>
      </c>
      <c r="B4946">
        <v>33.700597999999999</v>
      </c>
      <c r="C4946">
        <v>-117.95479899999999</v>
      </c>
      <c r="D4946" t="s">
        <v>5</v>
      </c>
    </row>
    <row r="4947" spans="1:4" x14ac:dyDescent="0.45">
      <c r="A4947" t="s">
        <v>4949</v>
      </c>
      <c r="B4947">
        <v>33.716822999999998</v>
      </c>
      <c r="C4947">
        <v>-117.9477828</v>
      </c>
      <c r="D4947" t="s">
        <v>5</v>
      </c>
    </row>
    <row r="4948" spans="1:4" x14ac:dyDescent="0.45">
      <c r="A4948" t="s">
        <v>4950</v>
      </c>
      <c r="B4948">
        <v>33.723019999999998</v>
      </c>
      <c r="C4948">
        <v>-117.95413379999999</v>
      </c>
      <c r="D4948" t="str">
        <f>HYPERLINK("https://streetviewpixels-pa.googleapis.com/v1/thumbnail?panoid=SguwjXOJWj0o-LFRJitYMg&amp;cb_client=search.gws-prod.gps&amp;w=408&amp;h=240&amp;yaw=7.0292916&amp;pitch=0&amp;thumbfov=100", "link")</f>
        <v>link</v>
      </c>
    </row>
    <row r="4949" spans="1:4" x14ac:dyDescent="0.45">
      <c r="A4949" t="s">
        <v>4951</v>
      </c>
      <c r="B4949">
        <v>33.7170208</v>
      </c>
      <c r="C4949">
        <v>-117.9414759</v>
      </c>
      <c r="D4949" t="str">
        <f>HYPERLINK("https://streetviewpixels-pa.googleapis.com/v1/thumbnail?panoid=yTD9jloAGTEF4O3xAVTrCw&amp;cb_client=search.gws-prod.gps&amp;w=408&amp;h=240&amp;yaw=11.7037&amp;pitch=0&amp;thumbfov=100", "link")</f>
        <v>link</v>
      </c>
    </row>
    <row r="4950" spans="1:4" x14ac:dyDescent="0.45">
      <c r="A4950" t="s">
        <v>4952</v>
      </c>
      <c r="B4950">
        <v>33.723345999999999</v>
      </c>
      <c r="C4950">
        <v>-117.9541586</v>
      </c>
      <c r="D4950" t="str">
        <f>HYPERLINK("https://lh5.googleusercontent.com/p/AF1QipPhnu8pYXp5Whx69w986qzvmTdLv1iHeEEaCcg3=w408-h544-k-no", "link")</f>
        <v>link</v>
      </c>
    </row>
    <row r="4951" spans="1:4" x14ac:dyDescent="0.45">
      <c r="A4951" t="s">
        <v>4953</v>
      </c>
      <c r="B4951">
        <v>33.723923200000002</v>
      </c>
      <c r="C4951">
        <v>-117.9526335</v>
      </c>
      <c r="D4951" t="s">
        <v>5</v>
      </c>
    </row>
    <row r="4952" spans="1:4" x14ac:dyDescent="0.45">
      <c r="A4952" t="s">
        <v>4954</v>
      </c>
      <c r="B4952">
        <v>33.724210800000002</v>
      </c>
      <c r="C4952">
        <v>-117.95359449999999</v>
      </c>
      <c r="D4952" t="s">
        <v>5</v>
      </c>
    </row>
    <row r="4953" spans="1:4" x14ac:dyDescent="0.45">
      <c r="A4953" t="s">
        <v>4955</v>
      </c>
      <c r="B4953">
        <v>33.725382199999999</v>
      </c>
      <c r="C4953">
        <v>-117.95062</v>
      </c>
      <c r="D4953" t="s">
        <v>5</v>
      </c>
    </row>
    <row r="4954" spans="1:4" x14ac:dyDescent="0.45">
      <c r="A4954" t="s">
        <v>4956</v>
      </c>
      <c r="B4954">
        <v>33.726242200000002</v>
      </c>
      <c r="C4954">
        <v>-117.9540063</v>
      </c>
      <c r="D4954" t="s">
        <v>5</v>
      </c>
    </row>
    <row r="4955" spans="1:4" x14ac:dyDescent="0.45">
      <c r="A4955" t="s">
        <v>4957</v>
      </c>
      <c r="B4955">
        <v>33.726263199999899</v>
      </c>
      <c r="C4955">
        <v>-117.9539485</v>
      </c>
      <c r="D4955" t="s">
        <v>5</v>
      </c>
    </row>
    <row r="4956" spans="1:4" x14ac:dyDescent="0.45">
      <c r="A4956" t="s">
        <v>4958</v>
      </c>
      <c r="B4956">
        <v>33.725798999999903</v>
      </c>
      <c r="C4956">
        <v>-117.9492472</v>
      </c>
      <c r="D4956" t="s">
        <v>5</v>
      </c>
    </row>
    <row r="4957" spans="1:4" x14ac:dyDescent="0.45">
      <c r="A4957" t="s">
        <v>4959</v>
      </c>
      <c r="B4957">
        <v>33.726944000000003</v>
      </c>
      <c r="C4957">
        <v>-117.95409789999999</v>
      </c>
      <c r="D4957" t="s">
        <v>5</v>
      </c>
    </row>
    <row r="4958" spans="1:4" x14ac:dyDescent="0.45">
      <c r="A4958" t="s">
        <v>4960</v>
      </c>
      <c r="B4958">
        <v>33.726785700000001</v>
      </c>
      <c r="C4958">
        <v>-117.9508031</v>
      </c>
      <c r="D4958" t="s">
        <v>5</v>
      </c>
    </row>
    <row r="4959" spans="1:4" x14ac:dyDescent="0.45">
      <c r="A4959" t="s">
        <v>4961</v>
      </c>
      <c r="B4959">
        <v>33.747373500000002</v>
      </c>
      <c r="C4959">
        <v>-117.9764277</v>
      </c>
      <c r="D4959" t="s">
        <v>5</v>
      </c>
    </row>
    <row r="4960" spans="1:4" x14ac:dyDescent="0.45">
      <c r="A4960" t="s">
        <v>4962</v>
      </c>
      <c r="B4960">
        <v>33.735904999999903</v>
      </c>
      <c r="C4960">
        <v>-117.9952043</v>
      </c>
      <c r="D4960" t="str">
        <f>HYPERLINK("https://streetviewpixels-pa.googleapis.com/v1/thumbnail?panoid=Vb5dcxnOhlEv-gtR3Wsn4g&amp;cb_client=search.gws-prod.gps&amp;w=408&amp;h=240&amp;yaw=102.28191&amp;pitch=0&amp;thumbfov=100", "link")</f>
        <v>link</v>
      </c>
    </row>
    <row r="4961" spans="1:4" x14ac:dyDescent="0.45">
      <c r="A4961" t="s">
        <v>4963</v>
      </c>
      <c r="B4961">
        <v>33.724633300000001</v>
      </c>
      <c r="C4961">
        <v>-117.90732439999999</v>
      </c>
      <c r="D4961" t="str">
        <f>HYPERLINK("https://streetviewpixels-pa.googleapis.com/v1/thumbnail?panoid=g0sJcpvJoC30182IlkYRxg&amp;cb_client=search.gws-prod.gps&amp;w=408&amp;h=240&amp;yaw=287.13364&amp;pitch=0&amp;thumbfov=100", "link")</f>
        <v>link</v>
      </c>
    </row>
    <row r="4962" spans="1:4" x14ac:dyDescent="0.45">
      <c r="A4962" t="s">
        <v>4964</v>
      </c>
      <c r="B4962">
        <v>33.749053199999999</v>
      </c>
      <c r="C4962">
        <v>-117.91858550000001</v>
      </c>
      <c r="D4962" t="str">
        <f>HYPERLINK("https://streetviewpixels-pa.googleapis.com/v1/thumbnail?panoid=l6a3Ti07YpIQ9Oem25ObCg&amp;cb_client=search.gws-prod.gps&amp;w=408&amp;h=240&amp;yaw=16.37907&amp;pitch=0&amp;thumbfov=100", "link")</f>
        <v>link</v>
      </c>
    </row>
    <row r="4963" spans="1:4" x14ac:dyDescent="0.45">
      <c r="A4963" t="s">
        <v>4965</v>
      </c>
      <c r="B4963">
        <v>33.734247500000002</v>
      </c>
      <c r="C4963">
        <v>-117.99966329999999</v>
      </c>
      <c r="D4963" t="s">
        <v>5</v>
      </c>
    </row>
    <row r="4964" spans="1:4" x14ac:dyDescent="0.45">
      <c r="A4964" t="s">
        <v>4966</v>
      </c>
      <c r="B4964">
        <v>33.734268299999997</v>
      </c>
      <c r="C4964">
        <v>-117.9996697</v>
      </c>
      <c r="D4964" t="s">
        <v>5</v>
      </c>
    </row>
    <row r="4965" spans="1:4" x14ac:dyDescent="0.45">
      <c r="A4965" t="s">
        <v>4967</v>
      </c>
      <c r="B4965">
        <v>33.749603999999998</v>
      </c>
      <c r="C4965">
        <v>-117.911159</v>
      </c>
      <c r="D4965" t="str">
        <f>HYPERLINK("https://streetviewpixels-pa.googleapis.com/v1/thumbnail?panoid=FhbAqKuqHdb6ce14bAYsdQ&amp;cb_client=search.gws-prod.gps&amp;w=408&amp;h=240&amp;yaw=268.8425&amp;pitch=0&amp;thumbfov=100", "link")</f>
        <v>link</v>
      </c>
    </row>
    <row r="4966" spans="1:4" x14ac:dyDescent="0.45">
      <c r="A4966" t="s">
        <v>4968</v>
      </c>
      <c r="B4966">
        <v>33.741709800000002</v>
      </c>
      <c r="C4966">
        <v>-117.8987523</v>
      </c>
      <c r="D4966" t="str">
        <f>HYPERLINK("https://lh5.googleusercontent.com/p/AF1QipMa69WmOkFAMgHIjIR1p4Sqsd7gzetGg0z9nGI=w408-h306-k-no", "link")</f>
        <v>link</v>
      </c>
    </row>
    <row r="4967" spans="1:4" x14ac:dyDescent="0.45">
      <c r="A4967" t="s">
        <v>4969</v>
      </c>
      <c r="B4967">
        <v>33.745601700000002</v>
      </c>
      <c r="C4967">
        <v>-117.9007647</v>
      </c>
      <c r="D4967" t="str">
        <f>HYPERLINK("https://streetviewpixels-pa.googleapis.com/v1/thumbnail?panoid=oLxsMIYzPXbTqt4RzFD9Cg&amp;cb_client=search.gws-prod.gps&amp;w=408&amp;h=240&amp;yaw=226.58054&amp;pitch=0&amp;thumbfov=100", "link")</f>
        <v>link</v>
      </c>
    </row>
    <row r="4968" spans="1:4" x14ac:dyDescent="0.45">
      <c r="A4968" t="s">
        <v>4970</v>
      </c>
      <c r="B4968">
        <v>33.7456374</v>
      </c>
      <c r="C4968">
        <v>-117.89922919999999</v>
      </c>
      <c r="D4968" t="str">
        <f>HYPERLINK("https://streetviewpixels-pa.googleapis.com/v1/thumbnail?panoid=rRcW2U_i1PxbiBM_wWsZQQ&amp;cb_client=search.gws-prod.gps&amp;w=408&amp;h=240&amp;yaw=274.73193&amp;pitch=0&amp;thumbfov=100", "link")</f>
        <v>link</v>
      </c>
    </row>
    <row r="4969" spans="1:4" x14ac:dyDescent="0.45">
      <c r="A4969" t="s">
        <v>4971</v>
      </c>
      <c r="B4969">
        <v>33.745713199999997</v>
      </c>
      <c r="C4969">
        <v>-117.8986793</v>
      </c>
      <c r="D4969" t="str">
        <f>HYPERLINK("https://streetviewpixels-pa.googleapis.com/v1/thumbnail?panoid=l5kNnePopPpnDvbL_-zPJQ&amp;cb_client=search.gws-prod.gps&amp;w=408&amp;h=240&amp;yaw=106.6012&amp;pitch=0&amp;thumbfov=100", "link")</f>
        <v>link</v>
      </c>
    </row>
    <row r="4970" spans="1:4" x14ac:dyDescent="0.45">
      <c r="A4970" t="s">
        <v>4972</v>
      </c>
      <c r="B4970">
        <v>33.678184399999999</v>
      </c>
      <c r="C4970">
        <v>-117.9990292</v>
      </c>
      <c r="D4970" t="s">
        <v>5</v>
      </c>
    </row>
    <row r="4971" spans="1:4" x14ac:dyDescent="0.45">
      <c r="A4971" t="s">
        <v>4973</v>
      </c>
      <c r="B4971">
        <v>33.755418400000003</v>
      </c>
      <c r="C4971">
        <v>-117.98518369999999</v>
      </c>
      <c r="D4971" t="str">
        <f>HYPERLINK("https://streetviewpixels-pa.googleapis.com/v1/thumbnail?panoid=hjKlivNb9lHRY5PL2i7Img&amp;cb_client=search.gws-prod.gps&amp;w=408&amp;h=240&amp;yaw=152.20732&amp;pitch=0&amp;thumbfov=100", "link")</f>
        <v>link</v>
      </c>
    </row>
    <row r="4972" spans="1:4" x14ac:dyDescent="0.45">
      <c r="A4972" t="s">
        <v>4974</v>
      </c>
      <c r="B4972">
        <v>33.881891099999997</v>
      </c>
      <c r="C4972">
        <v>-117.8893348</v>
      </c>
      <c r="D4972" t="s">
        <v>5</v>
      </c>
    </row>
    <row r="4973" spans="1:4" x14ac:dyDescent="0.45">
      <c r="A4973" t="s">
        <v>4975</v>
      </c>
      <c r="B4973">
        <v>33.8834181</v>
      </c>
      <c r="C4973">
        <v>-117.8893348</v>
      </c>
      <c r="D4973" t="s">
        <v>5</v>
      </c>
    </row>
    <row r="4974" spans="1:4" x14ac:dyDescent="0.45">
      <c r="A4974" t="s">
        <v>4976</v>
      </c>
      <c r="B4974">
        <v>33.885413100000001</v>
      </c>
      <c r="C4974">
        <v>-117.88917739999999</v>
      </c>
      <c r="D4974" t="s">
        <v>5</v>
      </c>
    </row>
    <row r="4975" spans="1:4" x14ac:dyDescent="0.45">
      <c r="A4975" t="s">
        <v>4977</v>
      </c>
      <c r="B4975">
        <v>33.886106900000001</v>
      </c>
      <c r="C4975">
        <v>-117.8881179</v>
      </c>
      <c r="D4975" t="s">
        <v>5</v>
      </c>
    </row>
    <row r="4976" spans="1:4" x14ac:dyDescent="0.45">
      <c r="A4976" t="s">
        <v>4978</v>
      </c>
      <c r="B4976">
        <v>33.884141900000003</v>
      </c>
      <c r="C4976">
        <v>-117.8879068</v>
      </c>
      <c r="D4976" t="s">
        <v>5</v>
      </c>
    </row>
    <row r="4977" spans="1:4" x14ac:dyDescent="0.45">
      <c r="A4977" t="s">
        <v>4979</v>
      </c>
      <c r="B4977">
        <v>33.883052800000002</v>
      </c>
      <c r="C4977">
        <v>-117.8885978</v>
      </c>
      <c r="D4977" t="str">
        <f>HYPERLINK("https://streetviewpixels-pa.googleapis.com/v1/thumbnail?panoid=cRy2D8g75u4z-li65w6N8w&amp;cb_client=search.gws-prod.gps&amp;w=408&amp;h=240&amp;yaw=45.286037&amp;pitch=0&amp;thumbfov=100", "link")</f>
        <v>link</v>
      </c>
    </row>
    <row r="4978" spans="1:4" x14ac:dyDescent="0.45">
      <c r="A4978" t="s">
        <v>4980</v>
      </c>
      <c r="B4978">
        <v>33.8830381</v>
      </c>
      <c r="C4978">
        <v>-117.88858260000001</v>
      </c>
      <c r="D4978" t="str">
        <f>HYPERLINK("https://streetviewpixels-pa.googleapis.com/v1/thumbnail?panoid=cRy2D8g75u4z-li65w6N8w&amp;cb_client=search.gws-prod.gps&amp;w=408&amp;h=240&amp;yaw=45.286037&amp;pitch=0&amp;thumbfov=100", "link")</f>
        <v>link</v>
      </c>
    </row>
    <row r="4979" spans="1:4" x14ac:dyDescent="0.45">
      <c r="A4979" t="s">
        <v>4981</v>
      </c>
      <c r="B4979">
        <v>33.882373000000001</v>
      </c>
      <c r="C4979">
        <v>-117.888868</v>
      </c>
      <c r="D4979" t="s">
        <v>5</v>
      </c>
    </row>
    <row r="4980" spans="1:4" x14ac:dyDescent="0.45">
      <c r="A4980" t="s">
        <v>4982</v>
      </c>
      <c r="B4980">
        <v>33.879047699999902</v>
      </c>
      <c r="C4980">
        <v>-117.88855150000001</v>
      </c>
      <c r="D4980" t="s">
        <v>5</v>
      </c>
    </row>
    <row r="4981" spans="1:4" x14ac:dyDescent="0.45">
      <c r="A4981" t="s">
        <v>4983</v>
      </c>
      <c r="B4981">
        <v>33.880355199999997</v>
      </c>
      <c r="C4981">
        <v>-117.8829717</v>
      </c>
      <c r="D4981" t="s">
        <v>5</v>
      </c>
    </row>
    <row r="4982" spans="1:4" x14ac:dyDescent="0.45">
      <c r="A4982" t="s">
        <v>4984</v>
      </c>
      <c r="B4982">
        <v>33.880387499999998</v>
      </c>
      <c r="C4982">
        <v>-117.883026</v>
      </c>
      <c r="D4982" t="s">
        <v>5</v>
      </c>
    </row>
    <row r="4983" spans="1:4" x14ac:dyDescent="0.45">
      <c r="A4983" t="s">
        <v>4985</v>
      </c>
      <c r="B4983">
        <v>33.880284400000001</v>
      </c>
      <c r="C4983">
        <v>-117.8817615</v>
      </c>
      <c r="D4983" t="s">
        <v>5</v>
      </c>
    </row>
    <row r="4984" spans="1:4" x14ac:dyDescent="0.45">
      <c r="A4984" t="s">
        <v>4986</v>
      </c>
      <c r="B4984">
        <v>33.880302899999997</v>
      </c>
      <c r="C4984">
        <v>-117.88174050000001</v>
      </c>
      <c r="D4984" t="s">
        <v>5</v>
      </c>
    </row>
    <row r="4985" spans="1:4" x14ac:dyDescent="0.45">
      <c r="A4985" t="s">
        <v>4987</v>
      </c>
      <c r="B4985">
        <v>33.881244100000004</v>
      </c>
      <c r="C4985">
        <v>-117.8847571</v>
      </c>
      <c r="D4985" t="s">
        <v>5</v>
      </c>
    </row>
    <row r="4986" spans="1:4" x14ac:dyDescent="0.45">
      <c r="A4986" t="s">
        <v>4988</v>
      </c>
      <c r="B4986">
        <v>33.881420400000003</v>
      </c>
      <c r="C4986">
        <v>-117.8828877</v>
      </c>
      <c r="D4986" t="s">
        <v>5</v>
      </c>
    </row>
    <row r="4987" spans="1:4" x14ac:dyDescent="0.45">
      <c r="A4987" t="s">
        <v>4989</v>
      </c>
      <c r="B4987">
        <v>33.865255900000001</v>
      </c>
      <c r="C4987">
        <v>-117.8825483</v>
      </c>
      <c r="D4987" t="str">
        <f>HYPERLINK("https://streetviewpixels-pa.googleapis.com/v1/thumbnail?panoid=H9BX-q3NnlL4Bo1jcJFmyw&amp;cb_client=search.gws-prod.gps&amp;w=408&amp;h=240&amp;yaw=10.8997345&amp;pitch=0&amp;thumbfov=100", "link")</f>
        <v>link</v>
      </c>
    </row>
    <row r="4988" spans="1:4" x14ac:dyDescent="0.45">
      <c r="A4988" t="s">
        <v>4990</v>
      </c>
      <c r="B4988">
        <v>33.875042499999999</v>
      </c>
      <c r="C4988">
        <v>-117.8844266</v>
      </c>
      <c r="D4988" t="str">
        <f>HYPERLINK("https://lh5.googleusercontent.com/p/AF1QipM5Bx72vXQx_WS5dpoDki4g9UWLRdYtBA2Rowuz=w408-h544-k-no", "link")</f>
        <v>link</v>
      </c>
    </row>
    <row r="4989" spans="1:4" x14ac:dyDescent="0.45">
      <c r="A4989" t="s">
        <v>4991</v>
      </c>
      <c r="B4989">
        <v>33.876370399999999</v>
      </c>
      <c r="C4989">
        <v>-117.8848029</v>
      </c>
      <c r="D4989" t="s">
        <v>5</v>
      </c>
    </row>
    <row r="4990" spans="1:4" x14ac:dyDescent="0.45">
      <c r="A4990" t="s">
        <v>4992</v>
      </c>
      <c r="B4990">
        <v>33.876086100000002</v>
      </c>
      <c r="C4990">
        <v>-117.8833379</v>
      </c>
      <c r="D4990" t="s">
        <v>5</v>
      </c>
    </row>
    <row r="4991" spans="1:4" x14ac:dyDescent="0.45">
      <c r="A4991" t="s">
        <v>4993</v>
      </c>
      <c r="B4991">
        <v>33.876117399999998</v>
      </c>
      <c r="C4991">
        <v>-117.8833358</v>
      </c>
      <c r="D4991" t="s">
        <v>5</v>
      </c>
    </row>
    <row r="4992" spans="1:4" x14ac:dyDescent="0.45">
      <c r="A4992" t="s">
        <v>4994</v>
      </c>
      <c r="B4992">
        <v>33.876185399999997</v>
      </c>
      <c r="C4992">
        <v>-117.8833145</v>
      </c>
      <c r="D4992" t="s">
        <v>5</v>
      </c>
    </row>
    <row r="4993" spans="1:4" x14ac:dyDescent="0.45">
      <c r="A4993" t="s">
        <v>4995</v>
      </c>
      <c r="B4993">
        <v>33.877033599999997</v>
      </c>
      <c r="C4993">
        <v>-117.8833298</v>
      </c>
      <c r="D4993" t="s">
        <v>5</v>
      </c>
    </row>
    <row r="4994" spans="1:4" x14ac:dyDescent="0.45">
      <c r="A4994" t="s">
        <v>4996</v>
      </c>
      <c r="B4994">
        <v>33.877050599999997</v>
      </c>
      <c r="C4994">
        <v>-117.8833379</v>
      </c>
      <c r="D4994" t="s">
        <v>5</v>
      </c>
    </row>
    <row r="4995" spans="1:4" x14ac:dyDescent="0.45">
      <c r="A4995" t="s">
        <v>4997</v>
      </c>
      <c r="B4995">
        <v>33.877213500000003</v>
      </c>
      <c r="C4995">
        <v>-117.88562690000001</v>
      </c>
      <c r="D4995" t="s">
        <v>5</v>
      </c>
    </row>
    <row r="4996" spans="1:4" x14ac:dyDescent="0.45">
      <c r="A4996" t="s">
        <v>4998</v>
      </c>
      <c r="B4996">
        <v>33.877878000000003</v>
      </c>
      <c r="C4996">
        <v>-117.8834549</v>
      </c>
      <c r="D4996" t="s">
        <v>5</v>
      </c>
    </row>
    <row r="4997" spans="1:4" x14ac:dyDescent="0.45">
      <c r="A4997" t="s">
        <v>4999</v>
      </c>
      <c r="B4997">
        <v>33.878461100000003</v>
      </c>
      <c r="C4997">
        <v>-117.8859473</v>
      </c>
      <c r="D4997" t="s">
        <v>5</v>
      </c>
    </row>
    <row r="4998" spans="1:4" x14ac:dyDescent="0.45">
      <c r="A4998" t="s">
        <v>5000</v>
      </c>
      <c r="B4998">
        <v>33.878352</v>
      </c>
      <c r="C4998">
        <v>-117.88220099999999</v>
      </c>
      <c r="D4998" t="s">
        <v>5</v>
      </c>
    </row>
    <row r="4999" spans="1:4" x14ac:dyDescent="0.45">
      <c r="A4999" t="s">
        <v>5001</v>
      </c>
      <c r="B4999">
        <v>33.878608799999903</v>
      </c>
      <c r="C4999">
        <v>-117.8871777</v>
      </c>
      <c r="D4999" t="s">
        <v>5</v>
      </c>
    </row>
    <row r="5000" spans="1:4" x14ac:dyDescent="0.45">
      <c r="A5000" t="s">
        <v>5002</v>
      </c>
      <c r="B5000">
        <v>33.879128999999999</v>
      </c>
      <c r="C5000">
        <v>-117.8867484</v>
      </c>
      <c r="D5000" t="s">
        <v>5</v>
      </c>
    </row>
    <row r="5001" spans="1:4" x14ac:dyDescent="0.45">
      <c r="A5001" t="s">
        <v>5003</v>
      </c>
      <c r="B5001">
        <v>33.879488100000003</v>
      </c>
      <c r="C5001">
        <v>-117.8833822</v>
      </c>
      <c r="D5001" t="s">
        <v>5</v>
      </c>
    </row>
    <row r="5002" spans="1:4" x14ac:dyDescent="0.45">
      <c r="A5002" t="s">
        <v>5004</v>
      </c>
      <c r="B5002">
        <v>33.879519799999997</v>
      </c>
      <c r="C5002">
        <v>-117.88342950000001</v>
      </c>
      <c r="D5002" t="s">
        <v>5</v>
      </c>
    </row>
    <row r="5003" spans="1:4" x14ac:dyDescent="0.45">
      <c r="A5003" t="s">
        <v>5005</v>
      </c>
      <c r="B5003">
        <v>33.878849500000001</v>
      </c>
      <c r="C5003">
        <v>-117.8814162</v>
      </c>
      <c r="D5003" t="s">
        <v>5</v>
      </c>
    </row>
    <row r="5004" spans="1:4" x14ac:dyDescent="0.45">
      <c r="A5004" t="s">
        <v>5006</v>
      </c>
      <c r="B5004">
        <v>33.878309000000002</v>
      </c>
      <c r="C5004">
        <v>-117.8883735</v>
      </c>
      <c r="D5004" t="s">
        <v>5</v>
      </c>
    </row>
    <row r="5005" spans="1:4" x14ac:dyDescent="0.45">
      <c r="A5005" t="s">
        <v>5007</v>
      </c>
      <c r="B5005">
        <v>33.878352200000002</v>
      </c>
      <c r="C5005">
        <v>-117.8888697</v>
      </c>
      <c r="D5005" t="s">
        <v>5</v>
      </c>
    </row>
    <row r="5006" spans="1:4" x14ac:dyDescent="0.45">
      <c r="A5006" t="s">
        <v>5008</v>
      </c>
      <c r="B5006">
        <v>33.878440900000001</v>
      </c>
      <c r="C5006">
        <v>-117.88889039999999</v>
      </c>
      <c r="D5006" t="s">
        <v>5</v>
      </c>
    </row>
    <row r="5007" spans="1:4" x14ac:dyDescent="0.45">
      <c r="A5007" t="s">
        <v>5009</v>
      </c>
      <c r="B5007">
        <v>33.8790415</v>
      </c>
      <c r="C5007">
        <v>-117.8884845</v>
      </c>
      <c r="D5007" t="s">
        <v>5</v>
      </c>
    </row>
    <row r="5008" spans="1:4" x14ac:dyDescent="0.45">
      <c r="A5008" t="s">
        <v>5010</v>
      </c>
      <c r="B5008">
        <v>33.782808699999997</v>
      </c>
      <c r="C5008">
        <v>-117.8945076</v>
      </c>
      <c r="D5008" t="s">
        <v>5</v>
      </c>
    </row>
    <row r="5009" spans="1:4" x14ac:dyDescent="0.45">
      <c r="A5009" t="s">
        <v>5011</v>
      </c>
      <c r="B5009">
        <v>33.787837400000001</v>
      </c>
      <c r="C5009">
        <v>-117.90464780000001</v>
      </c>
      <c r="D5009" t="s">
        <v>5</v>
      </c>
    </row>
    <row r="5010" spans="1:4" x14ac:dyDescent="0.45">
      <c r="A5010" t="s">
        <v>5012</v>
      </c>
      <c r="B5010">
        <v>33.786007099999999</v>
      </c>
      <c r="C5010">
        <v>-117.9041203</v>
      </c>
      <c r="D5010" t="s">
        <v>5</v>
      </c>
    </row>
    <row r="5011" spans="1:4" x14ac:dyDescent="0.45">
      <c r="A5011" t="s">
        <v>5013</v>
      </c>
      <c r="B5011">
        <v>33.779382200000001</v>
      </c>
      <c r="C5011">
        <v>-117.9068666</v>
      </c>
      <c r="D5011" t="s">
        <v>5</v>
      </c>
    </row>
    <row r="5012" spans="1:4" x14ac:dyDescent="0.45">
      <c r="A5012" t="s">
        <v>5014</v>
      </c>
      <c r="B5012">
        <v>33.780394100000002</v>
      </c>
      <c r="C5012">
        <v>-117.9915426</v>
      </c>
      <c r="D5012" t="str">
        <f>HYPERLINK("https://streetviewpixels-pa.googleapis.com/v1/thumbnail?panoid=foYl26an3govik49-Tv8EQ&amp;cb_client=search.gws-prod.gps&amp;w=408&amp;h=240&amp;yaw=340.74954&amp;pitch=0&amp;thumbfov=100", "link")</f>
        <v>link</v>
      </c>
    </row>
    <row r="5013" spans="1:4" x14ac:dyDescent="0.45">
      <c r="A5013" t="s">
        <v>5015</v>
      </c>
      <c r="B5013">
        <v>33.766880999999998</v>
      </c>
      <c r="C5013">
        <v>-117.9066729</v>
      </c>
      <c r="D5013" t="str">
        <f>HYPERLINK("https://streetviewpixels-pa.googleapis.com/v1/thumbnail?panoid=MAdqTiR8sxgTP33BWas41A&amp;cb_client=search.gws-prod.gps&amp;w=408&amp;h=240&amp;yaw=173.66632&amp;pitch=0&amp;thumbfov=100", "link")</f>
        <v>link</v>
      </c>
    </row>
    <row r="5014" spans="1:4" x14ac:dyDescent="0.45">
      <c r="A5014" t="s">
        <v>5016</v>
      </c>
      <c r="B5014">
        <v>33.771349399999998</v>
      </c>
      <c r="C5014">
        <v>-117.9037883</v>
      </c>
      <c r="D5014" t="s">
        <v>5</v>
      </c>
    </row>
    <row r="5015" spans="1:4" x14ac:dyDescent="0.45">
      <c r="A5015" t="s">
        <v>5017</v>
      </c>
      <c r="B5015">
        <v>33.760427999999997</v>
      </c>
      <c r="C5015">
        <v>-117.90593699999999</v>
      </c>
      <c r="D5015" t="str">
        <f>HYPERLINK("https://streetviewpixels-pa.googleapis.com/v1/thumbnail?panoid=TI2W6AixJ8b6-nlni7NBMA&amp;cb_client=search.gws-prod.gps&amp;w=408&amp;h=240&amp;yaw=2.4263258&amp;pitch=0&amp;thumbfov=100", "link")</f>
        <v>link</v>
      </c>
    </row>
    <row r="5016" spans="1:4" x14ac:dyDescent="0.45">
      <c r="A5016" t="s">
        <v>5018</v>
      </c>
      <c r="B5016">
        <v>33.760238100000002</v>
      </c>
      <c r="C5016">
        <v>-117.9060037</v>
      </c>
      <c r="D5016" t="str">
        <f>HYPERLINK("https://streetviewpixels-pa.googleapis.com/v1/thumbnail?panoid=TI2W6AixJ8b6-nlni7NBMA&amp;cb_client=search.gws-prod.gps&amp;w=408&amp;h=240&amp;yaw=2.4263258&amp;pitch=0&amp;thumbfov=100", "link")</f>
        <v>link</v>
      </c>
    </row>
    <row r="5017" spans="1:4" x14ac:dyDescent="0.45">
      <c r="A5017" t="s">
        <v>5019</v>
      </c>
      <c r="B5017">
        <v>33.759650999999998</v>
      </c>
      <c r="C5017">
        <v>-117.888119</v>
      </c>
      <c r="D5017" t="str">
        <f>HYPERLINK("https://streetviewpixels-pa.googleapis.com/v1/thumbnail?panoid=J2GtCAVvTCFtaJzE7h4DvA&amp;cb_client=search.gws-prod.gps&amp;w=408&amp;h=240&amp;yaw=209.14897&amp;pitch=0&amp;thumbfov=100", "link")</f>
        <v>link</v>
      </c>
    </row>
    <row r="5018" spans="1:4" x14ac:dyDescent="0.45">
      <c r="A5018" t="s">
        <v>5020</v>
      </c>
      <c r="B5018">
        <v>33.759653100000001</v>
      </c>
      <c r="C5018">
        <v>-117.88756069999999</v>
      </c>
      <c r="D5018" t="s">
        <v>5</v>
      </c>
    </row>
    <row r="5019" spans="1:4" x14ac:dyDescent="0.45">
      <c r="A5019" t="s">
        <v>5021</v>
      </c>
      <c r="B5019">
        <v>33.775717999999998</v>
      </c>
      <c r="C5019">
        <v>-117.9398102</v>
      </c>
      <c r="D5019" t="s">
        <v>5</v>
      </c>
    </row>
    <row r="5020" spans="1:4" x14ac:dyDescent="0.45">
      <c r="A5020" t="s">
        <v>5022</v>
      </c>
      <c r="B5020">
        <v>33.774885099999999</v>
      </c>
      <c r="C5020">
        <v>-117.93974919999999</v>
      </c>
      <c r="D5020" t="s">
        <v>5</v>
      </c>
    </row>
    <row r="5021" spans="1:4" x14ac:dyDescent="0.45">
      <c r="A5021" t="s">
        <v>5023</v>
      </c>
      <c r="B5021">
        <v>33.774528400000001</v>
      </c>
      <c r="C5021">
        <v>-117.93895670000001</v>
      </c>
      <c r="D5021" t="s">
        <v>5</v>
      </c>
    </row>
    <row r="5022" spans="1:4" x14ac:dyDescent="0.45">
      <c r="A5022" t="s">
        <v>5024</v>
      </c>
      <c r="B5022">
        <v>33.790103000000002</v>
      </c>
      <c r="C5022">
        <v>-117.953497</v>
      </c>
      <c r="D5022" t="str">
        <f>HYPERLINK("https://streetviewpixels-pa.googleapis.com/v1/thumbnail?panoid=cxn3y9IGM4hcewjWRULGow&amp;cb_client=search.gws-prod.gps&amp;w=408&amp;h=240&amp;yaw=86.14713&amp;pitch=0&amp;thumbfov=100", "link")</f>
        <v>link</v>
      </c>
    </row>
    <row r="5023" spans="1:4" x14ac:dyDescent="0.45">
      <c r="A5023" t="s">
        <v>5025</v>
      </c>
      <c r="B5023">
        <v>33.785396899999903</v>
      </c>
      <c r="C5023">
        <v>-117.94059799999999</v>
      </c>
      <c r="D5023" t="s">
        <v>5</v>
      </c>
    </row>
    <row r="5024" spans="1:4" x14ac:dyDescent="0.45">
      <c r="A5024" t="s">
        <v>5026</v>
      </c>
      <c r="B5024">
        <v>33.796375699999999</v>
      </c>
      <c r="C5024">
        <v>-117.9753295</v>
      </c>
      <c r="D5024" t="s">
        <v>5</v>
      </c>
    </row>
    <row r="5025" spans="1:4" x14ac:dyDescent="0.45">
      <c r="A5025" t="s">
        <v>5027</v>
      </c>
      <c r="B5025">
        <v>33.797597600000003</v>
      </c>
      <c r="C5025">
        <v>-117.97510080000001</v>
      </c>
      <c r="D5025" t="s">
        <v>5</v>
      </c>
    </row>
    <row r="5026" spans="1:4" x14ac:dyDescent="0.45">
      <c r="A5026" t="s">
        <v>5028</v>
      </c>
      <c r="B5026">
        <v>33.755468899999997</v>
      </c>
      <c r="C5026">
        <v>-117.9871775</v>
      </c>
      <c r="D5026" t="str">
        <f>HYPERLINK("https://streetviewpixels-pa.googleapis.com/v1/thumbnail?panoid=8ZpvpMNM_lVaFm9uy8tj8A&amp;cb_client=search.gws-prod.gps&amp;w=408&amp;h=240&amp;yaw=186.6898&amp;pitch=0&amp;thumbfov=100", "link")</f>
        <v>link</v>
      </c>
    </row>
    <row r="5027" spans="1:4" x14ac:dyDescent="0.45">
      <c r="A5027" t="s">
        <v>5029</v>
      </c>
      <c r="B5027">
        <v>33.735980499999997</v>
      </c>
      <c r="C5027">
        <v>-118.0324687</v>
      </c>
      <c r="D5027" t="str">
        <f>HYPERLINK("https://lh5.googleusercontent.com/p/AF1QipMBXsdJiizUj5GyiK_v1EGZwVTXrElaZSUSUhjv=w408-h340-k-no", "link")</f>
        <v>link</v>
      </c>
    </row>
    <row r="5028" spans="1:4" x14ac:dyDescent="0.45">
      <c r="A5028" t="s">
        <v>5030</v>
      </c>
      <c r="B5028">
        <v>33.734906000000002</v>
      </c>
      <c r="C5028">
        <v>-118.00067610000001</v>
      </c>
      <c r="D5028" t="s">
        <v>5</v>
      </c>
    </row>
    <row r="5029" spans="1:4" x14ac:dyDescent="0.45">
      <c r="A5029" t="s">
        <v>5031</v>
      </c>
      <c r="B5029">
        <v>33.723411599999999</v>
      </c>
      <c r="C5029">
        <v>-118.04097179999999</v>
      </c>
      <c r="D5029" t="str">
        <f>HYPERLINK("https://streetviewpixels-pa.googleapis.com/v1/thumbnail?panoid=Lu9ZkBIZPdAVC07tC-0tDQ&amp;cb_client=search.gws-prod.gps&amp;w=408&amp;h=240&amp;yaw=97.56015&amp;pitch=0&amp;thumbfov=100", "link")</f>
        <v>link</v>
      </c>
    </row>
    <row r="5030" spans="1:4" x14ac:dyDescent="0.45">
      <c r="A5030" t="s">
        <v>5032</v>
      </c>
      <c r="B5030">
        <v>33.633406200000003</v>
      </c>
      <c r="C5030">
        <v>-117.9619685</v>
      </c>
      <c r="D5030" t="s">
        <v>5</v>
      </c>
    </row>
    <row r="5031" spans="1:4" x14ac:dyDescent="0.45">
      <c r="A5031" t="s">
        <v>5033</v>
      </c>
      <c r="B5031">
        <v>33.675355099999997</v>
      </c>
      <c r="C5031">
        <v>-118.0184258</v>
      </c>
      <c r="D5031" t="s">
        <v>5</v>
      </c>
    </row>
    <row r="5032" spans="1:4" x14ac:dyDescent="0.45">
      <c r="A5032" t="s">
        <v>5034</v>
      </c>
      <c r="B5032">
        <v>33.674104200000002</v>
      </c>
      <c r="C5032">
        <v>-118.0255561</v>
      </c>
      <c r="D5032" t="str">
        <f>HYPERLINK("https://streetviewpixels-pa.googleapis.com/v1/thumbnail?panoid=TZ0-MLxBcVPgNF1jXNYehw&amp;cb_client=search.gws-prod.gps&amp;w=408&amp;h=240&amp;yaw=288.26117&amp;pitch=0&amp;thumbfov=100", "link")</f>
        <v>link</v>
      </c>
    </row>
    <row r="5033" spans="1:4" x14ac:dyDescent="0.45">
      <c r="A5033" t="s">
        <v>5035</v>
      </c>
      <c r="B5033">
        <v>33.674938099999999</v>
      </c>
      <c r="C5033">
        <v>-118.0264943</v>
      </c>
      <c r="D5033" t="s">
        <v>5</v>
      </c>
    </row>
    <row r="5034" spans="1:4" x14ac:dyDescent="0.45">
      <c r="A5034" t="s">
        <v>5036</v>
      </c>
      <c r="B5034">
        <v>33.6288543</v>
      </c>
      <c r="C5034">
        <v>-117.95403229999999</v>
      </c>
      <c r="D5034" t="s">
        <v>5</v>
      </c>
    </row>
    <row r="5035" spans="1:4" x14ac:dyDescent="0.45">
      <c r="A5035" t="s">
        <v>5037</v>
      </c>
      <c r="B5035">
        <v>33.628798799999998</v>
      </c>
      <c r="C5035">
        <v>-117.9538919</v>
      </c>
      <c r="D5035" t="s">
        <v>5</v>
      </c>
    </row>
    <row r="5036" spans="1:4" x14ac:dyDescent="0.45">
      <c r="A5036" t="s">
        <v>5038</v>
      </c>
      <c r="B5036">
        <v>33.628636999999998</v>
      </c>
      <c r="C5036">
        <v>-117.953952</v>
      </c>
      <c r="D5036" t="str">
        <f>HYPERLINK("https://lh5.googleusercontent.com/p/AF1QipMm8ssbSRXbMrueRGzepOzvStnScidag7C-x7xq=w408-h306-k-no", "link")</f>
        <v>link</v>
      </c>
    </row>
    <row r="5037" spans="1:4" x14ac:dyDescent="0.45">
      <c r="A5037" t="s">
        <v>5039</v>
      </c>
      <c r="B5037">
        <v>33.627033099999998</v>
      </c>
      <c r="C5037">
        <v>-117.95092510000001</v>
      </c>
      <c r="D5037" t="str">
        <f>HYPERLINK("https://lh5.googleusercontent.com/p/AF1QipMtSfnHyLjdUesmvtOuGIMKrzHLw6OJ_LW4rFql=w408-h725-k-no", "link")</f>
        <v>link</v>
      </c>
    </row>
    <row r="5038" spans="1:4" x14ac:dyDescent="0.45">
      <c r="A5038" t="s">
        <v>5040</v>
      </c>
      <c r="B5038">
        <v>33.626962900000002</v>
      </c>
      <c r="C5038">
        <v>-117.9495446</v>
      </c>
      <c r="D5038" t="str">
        <f>HYPERLINK("https://streetviewpixels-pa.googleapis.com/v1/thumbnail?panoid=0RZj2IhI1rwbwP-XzzBViA&amp;cb_client=search.gws-prod.gps&amp;w=408&amp;h=240&amp;yaw=42.568855&amp;pitch=0&amp;thumbfov=100", "link")</f>
        <v>link</v>
      </c>
    </row>
    <row r="5039" spans="1:4" x14ac:dyDescent="0.45">
      <c r="A5039" t="s">
        <v>5041</v>
      </c>
      <c r="B5039">
        <v>33.625934600000001</v>
      </c>
      <c r="C5039">
        <v>-117.9489987</v>
      </c>
      <c r="D5039" t="str">
        <f>HYPERLINK("https://streetviewpixels-pa.googleapis.com/v1/thumbnail?panoid=1hWkhAGqO1mHErPMN4FUVw&amp;cb_client=search.gws-prod.gps&amp;w=408&amp;h=240&amp;yaw=73.31788&amp;pitch=0&amp;thumbfov=100", "link")</f>
        <v>link</v>
      </c>
    </row>
    <row r="5040" spans="1:4" x14ac:dyDescent="0.45">
      <c r="A5040" t="s">
        <v>5042</v>
      </c>
      <c r="B5040">
        <v>33.624972800000002</v>
      </c>
      <c r="C5040">
        <v>-117.947204</v>
      </c>
      <c r="D5040" t="str">
        <f>HYPERLINK("https://streetviewpixels-pa.googleapis.com/v1/thumbnail?panoid=L32scqxjDJI0Y_oh97lpQg&amp;cb_client=search.gws-prod.gps&amp;w=408&amp;h=240&amp;yaw=166.92825&amp;pitch=0&amp;thumbfov=100", "link")</f>
        <v>link</v>
      </c>
    </row>
    <row r="5041" spans="1:4" x14ac:dyDescent="0.45">
      <c r="A5041" t="s">
        <v>5043</v>
      </c>
      <c r="B5041">
        <v>33.624244699999998</v>
      </c>
      <c r="C5041">
        <v>-117.9457824</v>
      </c>
      <c r="D5041" t="str">
        <f>HYPERLINK("https://lh5.googleusercontent.com/p/AF1QipMJeIv1aWdlXyd8I8LwAatWTVKA9pdetOEIVsNF=w408-h408-k-no", "link")</f>
        <v>link</v>
      </c>
    </row>
    <row r="5042" spans="1:4" x14ac:dyDescent="0.45">
      <c r="A5042" t="s">
        <v>5044</v>
      </c>
      <c r="B5042">
        <v>33.6995377</v>
      </c>
      <c r="C5042">
        <v>-118.0057999</v>
      </c>
      <c r="D5042" t="s">
        <v>5</v>
      </c>
    </row>
    <row r="5043" spans="1:4" x14ac:dyDescent="0.45">
      <c r="A5043" t="s">
        <v>5045</v>
      </c>
      <c r="B5043">
        <v>33.684929699999998</v>
      </c>
      <c r="C5043">
        <v>-118.0375915</v>
      </c>
      <c r="D5043" t="s">
        <v>5</v>
      </c>
    </row>
    <row r="5044" spans="1:4" x14ac:dyDescent="0.45">
      <c r="A5044" t="s">
        <v>5046</v>
      </c>
      <c r="B5044">
        <v>33.684975000000001</v>
      </c>
      <c r="C5044">
        <v>-118.03763840000001</v>
      </c>
      <c r="D5044" t="s">
        <v>5</v>
      </c>
    </row>
    <row r="5045" spans="1:4" x14ac:dyDescent="0.45">
      <c r="A5045" t="s">
        <v>5047</v>
      </c>
      <c r="B5045">
        <v>33.650584299999998</v>
      </c>
      <c r="C5045">
        <v>-117.9923271</v>
      </c>
      <c r="D5045" t="str">
        <f>HYPERLINK("https://streetviewpixels-pa.googleapis.com/v1/thumbnail?panoid=wNv0au3bTU9pEXtuZVWwPw&amp;cb_client=search.gws-prod.gps&amp;w=408&amp;h=240&amp;yaw=236.26369&amp;pitch=0&amp;thumbfov=100", "link")</f>
        <v>link</v>
      </c>
    </row>
    <row r="5046" spans="1:4" x14ac:dyDescent="0.45">
      <c r="A5046" t="s">
        <v>5048</v>
      </c>
      <c r="B5046">
        <v>33.651809200000002</v>
      </c>
      <c r="C5046">
        <v>-117.9939967</v>
      </c>
      <c r="D5046" t="s">
        <v>5</v>
      </c>
    </row>
    <row r="5047" spans="1:4" x14ac:dyDescent="0.45">
      <c r="A5047" t="s">
        <v>5049</v>
      </c>
      <c r="B5047">
        <v>33.648395299999997</v>
      </c>
      <c r="C5047">
        <v>-117.9887032</v>
      </c>
      <c r="D5047" t="str">
        <f>HYPERLINK("https://lh5.googleusercontent.com/p/AF1QipPTpJ-q6PqlQldtXdPX8dQobYkcMcF3IFaVhaCL=w426-h240-k-no", "link")</f>
        <v>link</v>
      </c>
    </row>
    <row r="5048" spans="1:4" x14ac:dyDescent="0.45">
      <c r="A5048" t="s">
        <v>5050</v>
      </c>
      <c r="B5048">
        <v>33.6489367</v>
      </c>
      <c r="C5048">
        <v>-117.9878518</v>
      </c>
      <c r="D5048" t="str">
        <f>HYPERLINK("https://lh5.googleusercontent.com/p/AF1QipPR_M70qBOH9TbL6sGHG8KIylRhs--t6YBILN13=w408-h306-k-no", "link")</f>
        <v>link</v>
      </c>
    </row>
    <row r="5049" spans="1:4" x14ac:dyDescent="0.45">
      <c r="A5049" t="s">
        <v>5051</v>
      </c>
      <c r="B5049">
        <v>33.654290899999999</v>
      </c>
      <c r="C5049">
        <v>-117.99634399999999</v>
      </c>
      <c r="D5049" t="s">
        <v>5</v>
      </c>
    </row>
    <row r="5050" spans="1:4" x14ac:dyDescent="0.45">
      <c r="A5050" t="s">
        <v>5052</v>
      </c>
      <c r="B5050">
        <v>33.655633600000002</v>
      </c>
      <c r="C5050">
        <v>-117.99875470000001</v>
      </c>
      <c r="D5050" t="str">
        <f>HYPERLINK("https://streetviewpixels-pa.googleapis.com/v1/thumbnail?panoid=iqQmmJKP18JuL5kJM1MX8Q&amp;cb_client=search.gws-prod.gps&amp;w=408&amp;h=240&amp;yaw=31.172333&amp;pitch=0&amp;thumbfov=100", "link")</f>
        <v>link</v>
      </c>
    </row>
    <row r="5051" spans="1:4" x14ac:dyDescent="0.45">
      <c r="A5051" t="s">
        <v>5053</v>
      </c>
      <c r="B5051">
        <v>33.654946899999999</v>
      </c>
      <c r="C5051">
        <v>-117.99946490000001</v>
      </c>
      <c r="D5051" t="str">
        <f>HYPERLINK("https://lh5.googleusercontent.com/p/AF1QipPvhNOLJwweTIAfjlx70_RcJVtLKWNAnfD3G8ve=w426-h240-k-no", "link")</f>
        <v>link</v>
      </c>
    </row>
    <row r="5052" spans="1:4" x14ac:dyDescent="0.45">
      <c r="A5052" t="s">
        <v>5054</v>
      </c>
      <c r="B5052">
        <v>33.646066900000001</v>
      </c>
      <c r="C5052">
        <v>-117.9850667</v>
      </c>
      <c r="D5052" t="str">
        <f>HYPERLINK("https://lh5.googleusercontent.com/p/AF1QipMt2JjS8wJRc60yBx5Q7gsNx5xp1txC9FJiBqIt=w408-h306-k-no", "link")</f>
        <v>link</v>
      </c>
    </row>
    <row r="5053" spans="1:4" x14ac:dyDescent="0.45">
      <c r="A5053" t="s">
        <v>5055</v>
      </c>
      <c r="B5053">
        <v>33.657857100000001</v>
      </c>
      <c r="C5053">
        <v>-117.9977164</v>
      </c>
      <c r="D5053" t="str">
        <f>HYPERLINK("https://lh5.googleusercontent.com/p/AF1QipOi6S3XgU4n-CXhHw0VAzXhe4OkfmRaKyJBJDMZ=w426-h240-k-no", "link")</f>
        <v>link</v>
      </c>
    </row>
    <row r="5054" spans="1:4" x14ac:dyDescent="0.45">
      <c r="A5054" t="s">
        <v>5056</v>
      </c>
      <c r="B5054">
        <v>33.655899900000001</v>
      </c>
      <c r="C5054">
        <v>-118.0009506</v>
      </c>
      <c r="D5054" t="s">
        <v>5</v>
      </c>
    </row>
    <row r="5055" spans="1:4" x14ac:dyDescent="0.45">
      <c r="A5055" t="s">
        <v>5057</v>
      </c>
      <c r="B5055">
        <v>33.658402100000004</v>
      </c>
      <c r="C5055">
        <v>-117.99971960000001</v>
      </c>
      <c r="D5055" t="str">
        <f>HYPERLINK("https://streetviewpixels-pa.googleapis.com/v1/thumbnail?panoid=--358bEq4QUjk3lY24_daw&amp;cb_client=search.gws-prod.gps&amp;w=408&amp;h=240&amp;yaw=221.19638&amp;pitch=0&amp;thumbfov=100", "link")</f>
        <v>link</v>
      </c>
    </row>
    <row r="5056" spans="1:4" x14ac:dyDescent="0.45">
      <c r="A5056" t="s">
        <v>5058</v>
      </c>
      <c r="B5056">
        <v>33.6594233</v>
      </c>
      <c r="C5056">
        <v>-117.99989410000001</v>
      </c>
      <c r="D5056" t="str">
        <f>HYPERLINK("https://streetviewpixels-pa.googleapis.com/v1/thumbnail?panoid=qAf4JX0D0DaxlZtLNM-_Qg&amp;cb_client=search.gws-prod.gps&amp;w=408&amp;h=240&amp;yaw=311.90244&amp;pitch=0&amp;thumbfov=100", "link")</f>
        <v>link</v>
      </c>
    </row>
    <row r="5057" spans="1:4" x14ac:dyDescent="0.45">
      <c r="A5057" t="s">
        <v>5059</v>
      </c>
      <c r="B5057">
        <v>33.659897100000002</v>
      </c>
      <c r="C5057">
        <v>-117.99974090000001</v>
      </c>
      <c r="D5057" t="str">
        <f>HYPERLINK("https://streetviewpixels-pa.googleapis.com/v1/thumbnail?panoid=dc_Xb14tMrQxWHHYaiLOTw&amp;cb_client=search.gws-prod.gps&amp;w=408&amp;h=240&amp;yaw=217.85553&amp;pitch=0&amp;thumbfov=100", "link")</f>
        <v>link</v>
      </c>
    </row>
    <row r="5058" spans="1:4" x14ac:dyDescent="0.45">
      <c r="A5058" t="s">
        <v>5060</v>
      </c>
      <c r="B5058">
        <v>33.657686400000003</v>
      </c>
      <c r="C5058">
        <v>-118.0035125</v>
      </c>
      <c r="D5058" t="str">
        <f>HYPERLINK("https://lh5.googleusercontent.com/p/AF1QipOJ5RiGE-VmIlSA62mZxAOSDDrfFpVZDwiAi2Lb=w408-h240-k-no-pi-10-ya32.00001-ro-0-fo100", "link")</f>
        <v>link</v>
      </c>
    </row>
    <row r="5059" spans="1:4" x14ac:dyDescent="0.45">
      <c r="A5059" t="s">
        <v>5061</v>
      </c>
      <c r="B5059">
        <v>33.658698599999902</v>
      </c>
      <c r="C5059">
        <v>-118.00299579999999</v>
      </c>
      <c r="D5059" t="str">
        <f>HYPERLINK("https://streetviewpixels-pa.googleapis.com/v1/thumbnail?panoid=RFSdY-AhsVWBHQfKDBGeTA&amp;cb_client=search.gws-prod.gps&amp;w=408&amp;h=240&amp;yaw=158.18604&amp;pitch=0&amp;thumbfov=100", "link")</f>
        <v>link</v>
      </c>
    </row>
    <row r="5060" spans="1:4" x14ac:dyDescent="0.45">
      <c r="A5060" t="s">
        <v>5062</v>
      </c>
      <c r="B5060">
        <v>33.6583118</v>
      </c>
      <c r="C5060">
        <v>-118.0042445</v>
      </c>
      <c r="D5060" t="s">
        <v>5</v>
      </c>
    </row>
    <row r="5061" spans="1:4" x14ac:dyDescent="0.45">
      <c r="A5061" t="s">
        <v>5063</v>
      </c>
      <c r="B5061">
        <v>33.641330799999999</v>
      </c>
      <c r="C5061">
        <v>-117.97698920000001</v>
      </c>
      <c r="D5061" t="str">
        <f>HYPERLINK("https://lh5.googleusercontent.com/p/AF1QipMO23hZCmNai3xONKfkyVqUJfocaH9at1agGFok=w408-h544-k-no", "link")</f>
        <v>link</v>
      </c>
    </row>
    <row r="5062" spans="1:4" x14ac:dyDescent="0.45">
      <c r="A5062" t="s">
        <v>5064</v>
      </c>
      <c r="B5062">
        <v>33.636957399999901</v>
      </c>
      <c r="C5062">
        <v>-117.9683373</v>
      </c>
      <c r="D5062" t="str">
        <f>HYPERLINK("https://lh5.googleusercontent.com/p/AF1QipM_yOpsN53vTFuvo06P7eB8lgpjyz7U97TpmhAh=w426-h240-k-no", "link")</f>
        <v>link</v>
      </c>
    </row>
    <row r="5063" spans="1:4" x14ac:dyDescent="0.45">
      <c r="A5063" t="s">
        <v>5065</v>
      </c>
      <c r="B5063">
        <v>33.675008699999999</v>
      </c>
      <c r="C5063">
        <v>-118.00442750000001</v>
      </c>
      <c r="D5063" t="s">
        <v>5</v>
      </c>
    </row>
    <row r="5064" spans="1:4" x14ac:dyDescent="0.45">
      <c r="A5064" t="s">
        <v>5066</v>
      </c>
      <c r="B5064">
        <v>33.676051200000003</v>
      </c>
      <c r="C5064">
        <v>-118.003787</v>
      </c>
      <c r="D5064" t="s">
        <v>5</v>
      </c>
    </row>
    <row r="5065" spans="1:4" x14ac:dyDescent="0.45">
      <c r="A5065" t="s">
        <v>5067</v>
      </c>
      <c r="B5065">
        <v>33.687192400000001</v>
      </c>
      <c r="C5065">
        <v>-118.039822</v>
      </c>
      <c r="D5065" t="str">
        <f>HYPERLINK("https://streetviewpixels-pa.googleapis.com/v1/thumbnail?panoid=cJRAmj2t1GhwrTD0voK_kA&amp;cb_client=search.gws-prod.gps&amp;w=408&amp;h=240&amp;yaw=76.2227&amp;pitch=0&amp;thumbfov=100", "link")</f>
        <v>link</v>
      </c>
    </row>
    <row r="5066" spans="1:4" x14ac:dyDescent="0.45">
      <c r="A5066" t="s">
        <v>5068</v>
      </c>
      <c r="B5066">
        <v>33.689295399999999</v>
      </c>
      <c r="C5066">
        <v>-118.0417855</v>
      </c>
      <c r="D5066" t="str">
        <f>HYPERLINK("https://streetviewpixels-pa.googleapis.com/v1/thumbnail?panoid=fv-5wsjMaMgikBxwehyrNQ&amp;cb_client=search.gws-prod.gps&amp;w=408&amp;h=240&amp;yaw=195.63626&amp;pitch=0&amp;thumbfov=100", "link")</f>
        <v>link</v>
      </c>
    </row>
    <row r="5067" spans="1:4" x14ac:dyDescent="0.45">
      <c r="A5067" t="s">
        <v>5069</v>
      </c>
      <c r="B5067">
        <v>33.705298900000003</v>
      </c>
      <c r="C5067">
        <v>-118.0062574</v>
      </c>
      <c r="D5067" t="s">
        <v>5</v>
      </c>
    </row>
    <row r="5068" spans="1:4" x14ac:dyDescent="0.45">
      <c r="A5068" t="s">
        <v>5070</v>
      </c>
      <c r="B5068">
        <v>33.707795099999998</v>
      </c>
      <c r="C5068">
        <v>-118.0046105</v>
      </c>
      <c r="D5068" t="s">
        <v>5</v>
      </c>
    </row>
    <row r="5069" spans="1:4" x14ac:dyDescent="0.45">
      <c r="A5069" t="s">
        <v>5071</v>
      </c>
      <c r="B5069">
        <v>33.711913000000003</v>
      </c>
      <c r="C5069">
        <v>-118.0644703</v>
      </c>
      <c r="D5069" t="str">
        <f>HYPERLINK("https://lh5.googleusercontent.com/p/AF1QipOpYyJevJ-frETTLtdGa2Ijpk6W8DMSpdwfGW-Q=w408-h272-k-no", "link")</f>
        <v>link</v>
      </c>
    </row>
    <row r="5070" spans="1:4" x14ac:dyDescent="0.45">
      <c r="A5070" t="s">
        <v>5072</v>
      </c>
      <c r="B5070">
        <v>33.702288600000003</v>
      </c>
      <c r="C5070">
        <v>-118.0540529</v>
      </c>
      <c r="D5070" t="str">
        <f>HYPERLINK("https://streetviewpixels-pa.googleapis.com/v1/thumbnail?panoid=PofXqqXbd77FtZsEUFJDrA&amp;cb_client=search.gws-prod.gps&amp;w=408&amp;h=240&amp;yaw=25.431879&amp;pitch=0&amp;thumbfov=100", "link")</f>
        <v>link</v>
      </c>
    </row>
    <row r="5071" spans="1:4" x14ac:dyDescent="0.45">
      <c r="A5071" t="s">
        <v>5073</v>
      </c>
      <c r="B5071">
        <v>33.698459700000001</v>
      </c>
      <c r="C5071">
        <v>-118.050438</v>
      </c>
      <c r="D5071" t="str">
        <f>HYPERLINK("https://lh5.googleusercontent.com/p/AF1QipPtQnT1XNVdjz4tclJAYexRawil-r8w1fTdP81n=w493-h240-k-no", "link")</f>
        <v>link</v>
      </c>
    </row>
    <row r="5072" spans="1:4" x14ac:dyDescent="0.45">
      <c r="A5072" t="s">
        <v>5074</v>
      </c>
      <c r="B5072">
        <v>33.7177717</v>
      </c>
      <c r="C5072">
        <v>-118.0426039</v>
      </c>
      <c r="D5072" t="str">
        <f>HYPERLINK("https://streetviewpixels-pa.googleapis.com/v1/thumbnail?panoid=NbT9LfULDs7Ejsau4nIKEQ&amp;cb_client=search.gws-prod.gps&amp;w=408&amp;h=240&amp;yaw=230.41919&amp;pitch=0&amp;thumbfov=100", "link")</f>
        <v>link</v>
      </c>
    </row>
    <row r="5073" spans="1:4" x14ac:dyDescent="0.45">
      <c r="A5073" t="s">
        <v>5075</v>
      </c>
      <c r="B5073">
        <v>33.722073000000002</v>
      </c>
      <c r="C5073">
        <v>-118.0422569</v>
      </c>
      <c r="D5073" t="str">
        <f>HYPERLINK("https://streetviewpixels-pa.googleapis.com/v1/thumbnail?panoid=MnW3mL6DEWxmbziRYdhXtQ&amp;cb_client=search.gws-prod.gps&amp;w=408&amp;h=240&amp;yaw=271.4893&amp;pitch=0&amp;thumbfov=100", "link")</f>
        <v>link</v>
      </c>
    </row>
    <row r="5074" spans="1:4" x14ac:dyDescent="0.45">
      <c r="A5074" t="s">
        <v>5076</v>
      </c>
      <c r="B5074">
        <v>33.693288299999999</v>
      </c>
      <c r="C5074">
        <v>-118.0455578</v>
      </c>
      <c r="D5074" t="str">
        <f>HYPERLINK("https://streetviewpixels-pa.googleapis.com/v1/thumbnail?panoid=VfJDgnQzO2KJd4MieNWhzg&amp;cb_client=search.gws-prod.gps&amp;w=408&amp;h=240&amp;yaw=336.23126&amp;pitch=0&amp;thumbfov=100", "link")</f>
        <v>link</v>
      </c>
    </row>
    <row r="5075" spans="1:4" x14ac:dyDescent="0.45">
      <c r="A5075" t="s">
        <v>5077</v>
      </c>
      <c r="B5075">
        <v>33.707596600000002</v>
      </c>
      <c r="C5075">
        <v>-118.0060744</v>
      </c>
      <c r="D5075" t="s">
        <v>5</v>
      </c>
    </row>
    <row r="5076" spans="1:4" x14ac:dyDescent="0.45">
      <c r="A5076" t="s">
        <v>5078</v>
      </c>
      <c r="B5076">
        <v>33.623104699999999</v>
      </c>
      <c r="C5076">
        <v>-117.9380893</v>
      </c>
      <c r="D5076" t="str">
        <f>HYPERLINK("https://streetviewpixels-pa.googleapis.com/v1/thumbnail?panoid=4habweDYVJocba7zsQUrvA&amp;cb_client=search.gws-prod.gps&amp;w=408&amp;h=240&amp;yaw=186.3433&amp;pitch=0&amp;thumbfov=100", "link")</f>
        <v>link</v>
      </c>
    </row>
    <row r="5077" spans="1:4" x14ac:dyDescent="0.45">
      <c r="A5077" t="s">
        <v>5079</v>
      </c>
      <c r="B5077">
        <v>33.687473799999999</v>
      </c>
      <c r="C5077">
        <v>-117.7679657</v>
      </c>
      <c r="D5077" t="s">
        <v>5</v>
      </c>
    </row>
    <row r="5078" spans="1:4" x14ac:dyDescent="0.45">
      <c r="A5078" t="s">
        <v>5080</v>
      </c>
      <c r="B5078">
        <v>33.687642099999998</v>
      </c>
      <c r="C5078">
        <v>-117.7678514</v>
      </c>
      <c r="D5078" t="s">
        <v>5</v>
      </c>
    </row>
    <row r="5079" spans="1:4" x14ac:dyDescent="0.45">
      <c r="A5079" t="s">
        <v>5081</v>
      </c>
      <c r="B5079">
        <v>33.652896900000002</v>
      </c>
      <c r="C5079">
        <v>-117.7443631</v>
      </c>
      <c r="D5079" t="str">
        <f>HYPERLINK("https://streetviewpixels-pa.googleapis.com/v1/thumbnail?panoid=ubJdumJM2kfNzFCMfnBllA&amp;cb_client=search.gws-prod.gps&amp;w=408&amp;h=240&amp;yaw=290.28915&amp;pitch=0&amp;thumbfov=100", "link")</f>
        <v>link</v>
      </c>
    </row>
    <row r="5080" spans="1:4" x14ac:dyDescent="0.45">
      <c r="A5080" t="s">
        <v>5082</v>
      </c>
      <c r="B5080">
        <v>33.652270000000001</v>
      </c>
      <c r="C5080">
        <v>-117.7433848</v>
      </c>
      <c r="D5080" t="str">
        <f>HYPERLINK("https://lh5.googleusercontent.com/p/AF1QipM1R4v4f_sQI3egk3cJPIJ81ffNzdu280WslVDf=w426-h240-k-no", "link")</f>
        <v>link</v>
      </c>
    </row>
    <row r="5081" spans="1:4" x14ac:dyDescent="0.45">
      <c r="A5081" t="s">
        <v>5083</v>
      </c>
      <c r="B5081">
        <v>33.653717</v>
      </c>
      <c r="C5081">
        <v>-117.7337637</v>
      </c>
      <c r="D5081" t="str">
        <f>HYPERLINK("https://streetviewpixels-pa.googleapis.com/v1/thumbnail?panoid=V_rj0Td4Z3U795SYs-AkTA&amp;cb_client=search.gws-prod.gps&amp;w=408&amp;h=240&amp;yaw=227.84453&amp;pitch=0&amp;thumbfov=100", "link")</f>
        <v>link</v>
      </c>
    </row>
    <row r="5082" spans="1:4" x14ac:dyDescent="0.45">
      <c r="A5082" t="s">
        <v>5084</v>
      </c>
      <c r="B5082">
        <v>33.667037200000003</v>
      </c>
      <c r="C5082">
        <v>-117.7718787</v>
      </c>
      <c r="D5082" t="s">
        <v>5</v>
      </c>
    </row>
    <row r="5083" spans="1:4" x14ac:dyDescent="0.45">
      <c r="A5083" t="s">
        <v>5085</v>
      </c>
      <c r="B5083">
        <v>33.695827999999999</v>
      </c>
      <c r="C5083">
        <v>-117.76317520000001</v>
      </c>
      <c r="D5083" t="s">
        <v>5</v>
      </c>
    </row>
    <row r="5084" spans="1:4" x14ac:dyDescent="0.45">
      <c r="A5084" t="s">
        <v>5086</v>
      </c>
      <c r="B5084">
        <v>33.650094899999999</v>
      </c>
      <c r="C5084">
        <v>-117.7468922</v>
      </c>
      <c r="D5084" t="str">
        <f>HYPERLINK("https://streetviewpixels-pa.googleapis.com/v1/thumbnail?panoid=4QPlXSzv9FlY0dcAm1J36g&amp;cb_client=search.gws-prod.gps&amp;w=408&amp;h=240&amp;yaw=289.61246&amp;pitch=0&amp;thumbfov=100", "link")</f>
        <v>link</v>
      </c>
    </row>
    <row r="5085" spans="1:4" x14ac:dyDescent="0.45">
      <c r="A5085" t="s">
        <v>5087</v>
      </c>
      <c r="B5085">
        <v>33.676360299999999</v>
      </c>
      <c r="C5085">
        <v>-117.77563480000001</v>
      </c>
      <c r="D5085" t="s">
        <v>5</v>
      </c>
    </row>
    <row r="5086" spans="1:4" x14ac:dyDescent="0.45">
      <c r="A5086" t="s">
        <v>5088</v>
      </c>
      <c r="B5086">
        <v>33.673146600000003</v>
      </c>
      <c r="C5086">
        <v>-117.7763214</v>
      </c>
      <c r="D5086" t="str">
        <f>HYPERLINK("https://streetviewpixels-pa.googleapis.com/v1/thumbnail?panoid=7rqurbQ20gbeo7spx1naLw&amp;cb_client=search.gws-prod.gps&amp;w=408&amp;h=240&amp;yaw=203.73279&amp;pitch=0&amp;thumbfov=100", "link")</f>
        <v>link</v>
      </c>
    </row>
    <row r="5087" spans="1:4" x14ac:dyDescent="0.45">
      <c r="A5087" t="s">
        <v>5089</v>
      </c>
      <c r="B5087">
        <v>33.6488078</v>
      </c>
      <c r="C5087">
        <v>-117.7440546</v>
      </c>
      <c r="D5087" t="str">
        <f>HYPERLINK("https://streetviewpixels-pa.googleapis.com/v1/thumbnail?panoid=OuNjdaWc5tXB6fQDDwFUXQ&amp;cb_client=search.gws-prod.gps&amp;w=408&amp;h=240&amp;yaw=119.076904&amp;pitch=0&amp;thumbfov=100", "link")</f>
        <v>link</v>
      </c>
    </row>
    <row r="5088" spans="1:4" x14ac:dyDescent="0.45">
      <c r="A5088" t="s">
        <v>5090</v>
      </c>
      <c r="B5088">
        <v>33.674333799999999</v>
      </c>
      <c r="C5088">
        <v>-117.7770089</v>
      </c>
      <c r="D5088" t="s">
        <v>5</v>
      </c>
    </row>
    <row r="5089" spans="1:4" x14ac:dyDescent="0.45">
      <c r="A5089" t="s">
        <v>5091</v>
      </c>
      <c r="B5089">
        <v>33.700828000000001</v>
      </c>
      <c r="C5089">
        <v>-117.7269828</v>
      </c>
      <c r="D5089" t="s">
        <v>5</v>
      </c>
    </row>
    <row r="5090" spans="1:4" x14ac:dyDescent="0.45">
      <c r="A5090" t="s">
        <v>5092</v>
      </c>
      <c r="B5090">
        <v>33.657455300000002</v>
      </c>
      <c r="C5090">
        <v>-117.769763</v>
      </c>
      <c r="D5090" t="str">
        <f>HYPERLINK("https://streetviewpixels-pa.googleapis.com/v1/thumbnail?panoid=llCHPflOsEJOzRKypys-Lg&amp;cb_client=search.gws-prod.gps&amp;w=408&amp;h=240&amp;yaw=321.81418&amp;pitch=0&amp;thumbfov=100", "link")</f>
        <v>link</v>
      </c>
    </row>
    <row r="5091" spans="1:4" x14ac:dyDescent="0.45">
      <c r="A5091" t="s">
        <v>5093</v>
      </c>
      <c r="B5091">
        <v>33.676108300000003</v>
      </c>
      <c r="C5091">
        <v>-117.7797178</v>
      </c>
      <c r="D5091" t="str">
        <f>HYPERLINK("https://streetviewpixels-pa.googleapis.com/v1/thumbnail?panoid=cV_JMONNsE4WZmdwUp08Tg&amp;cb_client=search.gws-prod.gps&amp;w=408&amp;h=240&amp;yaw=274.75497&amp;pitch=0&amp;thumbfov=100", "link")</f>
        <v>link</v>
      </c>
    </row>
    <row r="5092" spans="1:4" x14ac:dyDescent="0.45">
      <c r="A5092" t="s">
        <v>5094</v>
      </c>
      <c r="B5092">
        <v>33.706338500000001</v>
      </c>
      <c r="C5092">
        <v>-117.741648</v>
      </c>
      <c r="D5092" t="s">
        <v>5</v>
      </c>
    </row>
    <row r="5093" spans="1:4" x14ac:dyDescent="0.45">
      <c r="A5093" t="s">
        <v>5095</v>
      </c>
      <c r="B5093">
        <v>33.6449383</v>
      </c>
      <c r="C5093">
        <v>-117.74402619999999</v>
      </c>
      <c r="D5093" t="str">
        <f>HYPERLINK("https://streetviewpixels-pa.googleapis.com/v1/thumbnail?panoid=ZfzcmdwDvSicGIXUYmgwgQ&amp;cb_client=search.gws-prod.gps&amp;w=408&amp;h=240&amp;yaw=166.26663&amp;pitch=0&amp;thumbfov=100", "link")</f>
        <v>link</v>
      </c>
    </row>
    <row r="5094" spans="1:4" x14ac:dyDescent="0.45">
      <c r="A5094" t="s">
        <v>5096</v>
      </c>
      <c r="B5094">
        <v>33.676125200000001</v>
      </c>
      <c r="C5094">
        <v>-117.7437209</v>
      </c>
      <c r="D5094" t="str">
        <f>HYPERLINK("https://lh5.googleusercontent.com/p/AF1QipOSjCDO7qG814I-k5WAeMvNmuD9M1V_hFlqpdP-=w408-h306-k-no", "link")</f>
        <v>link</v>
      </c>
    </row>
    <row r="5095" spans="1:4" x14ac:dyDescent="0.45">
      <c r="A5095" t="s">
        <v>5097</v>
      </c>
      <c r="B5095">
        <v>33.675052999999998</v>
      </c>
      <c r="C5095">
        <v>-117.744034</v>
      </c>
      <c r="D5095" t="str">
        <f>HYPERLINK("https://streetviewpixels-pa.googleapis.com/v1/thumbnail?panoid=-rWYQMIL2n09i4cybmYwgQ&amp;cb_client=search.gws-prod.gps&amp;w=408&amp;h=240&amp;yaw=22.266005&amp;pitch=0&amp;thumbfov=100", "link")</f>
        <v>link</v>
      </c>
    </row>
    <row r="5096" spans="1:4" x14ac:dyDescent="0.45">
      <c r="A5096" t="s">
        <v>5098</v>
      </c>
      <c r="B5096">
        <v>33.673910300000003</v>
      </c>
      <c r="C5096">
        <v>-117.7407712</v>
      </c>
      <c r="D5096" t="s">
        <v>5</v>
      </c>
    </row>
    <row r="5097" spans="1:4" x14ac:dyDescent="0.45">
      <c r="A5097" t="s">
        <v>5099</v>
      </c>
      <c r="B5097">
        <v>33.678322700000002</v>
      </c>
      <c r="C5097">
        <v>-117.7358086</v>
      </c>
      <c r="D5097" t="str">
        <f>HYPERLINK("https://streetviewpixels-pa.googleapis.com/v1/thumbnail?panoid=qEPQY3LY3XyozLCla6mi-Q&amp;cb_client=search.gws-prod.gps&amp;w=408&amp;h=240&amp;yaw=117.7066&amp;pitch=0&amp;thumbfov=100", "link")</f>
        <v>link</v>
      </c>
    </row>
    <row r="5098" spans="1:4" x14ac:dyDescent="0.45">
      <c r="A5098" t="s">
        <v>5100</v>
      </c>
      <c r="B5098">
        <v>33.669089900000003</v>
      </c>
      <c r="C5098">
        <v>-117.7435456</v>
      </c>
      <c r="D5098" t="str">
        <f>HYPERLINK("https://lh5.googleusercontent.com/p/AF1QipM0HUfnPUgNLr691nQ155FQDfKuY3SqnVoKOwh-=w408-h306-k-no", "link")</f>
        <v>link</v>
      </c>
    </row>
    <row r="5099" spans="1:4" x14ac:dyDescent="0.45">
      <c r="A5099" t="s">
        <v>5101</v>
      </c>
      <c r="B5099">
        <v>33.6744518</v>
      </c>
      <c r="C5099">
        <v>-117.73508</v>
      </c>
      <c r="D5099" t="str">
        <f>HYPERLINK("https://lh5.googleusercontent.com/p/AF1QipOTpT6dd2FKEGIN2Fi8uLE4ydhGmXYgoDgq_Lvz=w408-h544-k-no", "link")</f>
        <v>link</v>
      </c>
    </row>
    <row r="5100" spans="1:4" x14ac:dyDescent="0.45">
      <c r="A5100" t="s">
        <v>5102</v>
      </c>
      <c r="B5100">
        <v>33.669955299999998</v>
      </c>
      <c r="C5100">
        <v>-117.7378753</v>
      </c>
      <c r="D5100" t="str">
        <f>HYPERLINK("https://lh5.googleusercontent.com/p/AF1QipNvlYdVcmbTdCWp28c_AXEYWWJ4gPaZmI5ONjQ=w408-h306-k-no", "link")</f>
        <v>link</v>
      </c>
    </row>
    <row r="5101" spans="1:4" x14ac:dyDescent="0.45">
      <c r="A5101" t="s">
        <v>5103</v>
      </c>
      <c r="B5101">
        <v>33.667118299999998</v>
      </c>
      <c r="C5101">
        <v>-117.748974</v>
      </c>
      <c r="D5101" t="s">
        <v>5</v>
      </c>
    </row>
    <row r="5102" spans="1:4" x14ac:dyDescent="0.45">
      <c r="A5102" t="s">
        <v>5104</v>
      </c>
      <c r="B5102">
        <v>33.675211500000003</v>
      </c>
      <c r="C5102">
        <v>-117.7581362</v>
      </c>
      <c r="D5102" t="s">
        <v>5</v>
      </c>
    </row>
    <row r="5103" spans="1:4" x14ac:dyDescent="0.45">
      <c r="A5103" t="s">
        <v>5105</v>
      </c>
      <c r="B5103">
        <v>33.667885200000001</v>
      </c>
      <c r="C5103">
        <v>-117.7630868</v>
      </c>
      <c r="D5103" t="s">
        <v>5</v>
      </c>
    </row>
    <row r="5104" spans="1:4" x14ac:dyDescent="0.45">
      <c r="A5104" t="s">
        <v>5106</v>
      </c>
      <c r="B5104">
        <v>33.676528599999997</v>
      </c>
      <c r="C5104">
        <v>-117.7661528</v>
      </c>
      <c r="D5104" t="s">
        <v>5</v>
      </c>
    </row>
    <row r="5105" spans="1:4" x14ac:dyDescent="0.45">
      <c r="A5105" t="s">
        <v>5107</v>
      </c>
      <c r="B5105">
        <v>33.659224799999897</v>
      </c>
      <c r="C5105">
        <v>-117.75419119999999</v>
      </c>
      <c r="D5105" t="str">
        <f>HYPERLINK("https://streetviewpixels-pa.googleapis.com/v1/thumbnail?panoid=BmVw58inG3hhuoxwkVd-iw&amp;cb_client=search.gws-prod.gps&amp;w=408&amp;h=240&amp;yaw=12.199441&amp;pitch=0&amp;thumbfov=100", "link")</f>
        <v>link</v>
      </c>
    </row>
    <row r="5106" spans="1:4" x14ac:dyDescent="0.45">
      <c r="A5106" t="s">
        <v>5108</v>
      </c>
      <c r="B5106">
        <v>33.655805000000001</v>
      </c>
      <c r="C5106">
        <v>-117.74870300000001</v>
      </c>
      <c r="D5106" t="str">
        <f>HYPERLINK("https://streetviewpixels-pa.googleapis.com/v1/thumbnail?panoid=wWaLiwz23D0ZZEL9_GS3PA&amp;cb_client=search.gws-prod.gps&amp;w=408&amp;h=240&amp;yaw=109.53666&amp;pitch=0&amp;thumbfov=100", "link")</f>
        <v>link</v>
      </c>
    </row>
    <row r="5107" spans="1:4" x14ac:dyDescent="0.45">
      <c r="A5107" t="s">
        <v>5109</v>
      </c>
      <c r="B5107">
        <v>33.656512399999997</v>
      </c>
      <c r="C5107">
        <v>-117.7327099</v>
      </c>
      <c r="D5107" t="s">
        <v>5</v>
      </c>
    </row>
    <row r="5108" spans="1:4" x14ac:dyDescent="0.45">
      <c r="A5108" t="s">
        <v>5110</v>
      </c>
      <c r="B5108">
        <v>33.658906199999997</v>
      </c>
      <c r="C5108">
        <v>-117.7597023</v>
      </c>
      <c r="D5108" t="s">
        <v>5</v>
      </c>
    </row>
    <row r="5109" spans="1:4" x14ac:dyDescent="0.45">
      <c r="A5109" t="s">
        <v>5111</v>
      </c>
      <c r="B5109">
        <v>33.656035600000003</v>
      </c>
      <c r="C5109">
        <v>-117.7328474</v>
      </c>
      <c r="D5109" t="s">
        <v>5</v>
      </c>
    </row>
    <row r="5110" spans="1:4" x14ac:dyDescent="0.45">
      <c r="A5110" t="s">
        <v>5112</v>
      </c>
      <c r="B5110">
        <v>33.6538623</v>
      </c>
      <c r="C5110">
        <v>-117.7480044</v>
      </c>
      <c r="D5110" t="s">
        <v>5</v>
      </c>
    </row>
    <row r="5111" spans="1:4" x14ac:dyDescent="0.45">
      <c r="A5111" t="s">
        <v>5113</v>
      </c>
      <c r="B5111">
        <v>33.6555544</v>
      </c>
      <c r="C5111">
        <v>-117.7318394</v>
      </c>
      <c r="D5111" t="s">
        <v>5</v>
      </c>
    </row>
    <row r="5112" spans="1:4" x14ac:dyDescent="0.45">
      <c r="A5112" t="s">
        <v>5114</v>
      </c>
      <c r="B5112">
        <v>33.687360400000003</v>
      </c>
      <c r="C5112">
        <v>-117.7678635</v>
      </c>
      <c r="D5112" t="s">
        <v>5</v>
      </c>
    </row>
    <row r="5113" spans="1:4" x14ac:dyDescent="0.45">
      <c r="A5113" t="s">
        <v>5115</v>
      </c>
      <c r="B5113">
        <v>33.683422999999998</v>
      </c>
      <c r="C5113">
        <v>-117.854219</v>
      </c>
      <c r="D5113" t="str">
        <f>HYPERLINK("https://lh5.googleusercontent.com/p/AF1QipOacD0Hl4-0RJ3D58LbFjecd7sU8EipqHHSnHki=w408-h272-k-no", "link")</f>
        <v>link</v>
      </c>
    </row>
    <row r="5114" spans="1:4" x14ac:dyDescent="0.45">
      <c r="A5114" t="s">
        <v>5116</v>
      </c>
      <c r="B5114">
        <v>33.6831757</v>
      </c>
      <c r="C5114">
        <v>-117.8532131</v>
      </c>
      <c r="D5114" t="str">
        <f>HYPERLINK("https://streetviewpixels-pa.googleapis.com/v1/thumbnail?panoid=oOFomI23o5fCRf7LQbzF_Q&amp;cb_client=search.gws-prod.gps&amp;w=408&amp;h=240&amp;yaw=15.608876&amp;pitch=0&amp;thumbfov=100", "link")</f>
        <v>link</v>
      </c>
    </row>
    <row r="5115" spans="1:4" x14ac:dyDescent="0.45">
      <c r="A5115" t="s">
        <v>5117</v>
      </c>
      <c r="B5115">
        <v>33.684336100000003</v>
      </c>
      <c r="C5115">
        <v>-117.8516032</v>
      </c>
      <c r="D5115" t="str">
        <f>HYPERLINK("https://streetviewpixels-pa.googleapis.com/v1/thumbnail?panoid=wPt7xD0VADuIlaQHsSDYlw&amp;cb_client=search.gws-prod.gps&amp;w=408&amp;h=240&amp;yaw=206.85767&amp;pitch=0&amp;thumbfov=100", "link")</f>
        <v>link</v>
      </c>
    </row>
    <row r="5116" spans="1:4" x14ac:dyDescent="0.45">
      <c r="A5116" t="s">
        <v>5118</v>
      </c>
      <c r="B5116">
        <v>33.686505500000003</v>
      </c>
      <c r="C5116">
        <v>-117.8535103</v>
      </c>
      <c r="D5116" t="str">
        <f>HYPERLINK("https://lh5.googleusercontent.com/p/AF1QipOqIO4CqoDOCI2FO2sDWxHjNA1p7IxiFejuWMlH=w408-h408-k-no", "link")</f>
        <v>link</v>
      </c>
    </row>
    <row r="5117" spans="1:4" x14ac:dyDescent="0.45">
      <c r="A5117" t="s">
        <v>5119</v>
      </c>
      <c r="B5117">
        <v>33.679443300000003</v>
      </c>
      <c r="C5117">
        <v>-117.8532455</v>
      </c>
      <c r="D5117" t="str">
        <f>HYPERLINK("https://lh5.googleusercontent.com/p/AF1QipPfxzFua1E5Nc3ZsDHO8eHT4OPC0RDbqu-QSXWt=w408-h544-k-no", "link")</f>
        <v>link</v>
      </c>
    </row>
    <row r="5118" spans="1:4" x14ac:dyDescent="0.45">
      <c r="A5118" t="s">
        <v>5120</v>
      </c>
      <c r="B5118">
        <v>33.679026</v>
      </c>
      <c r="C5118">
        <v>-117.85074059999999</v>
      </c>
      <c r="D5118" t="s">
        <v>5</v>
      </c>
    </row>
    <row r="5119" spans="1:4" x14ac:dyDescent="0.45">
      <c r="A5119" t="s">
        <v>5121</v>
      </c>
      <c r="B5119">
        <v>33.685553800000001</v>
      </c>
      <c r="C5119">
        <v>-117.848085</v>
      </c>
      <c r="D5119" t="str">
        <f>HYPERLINK("https://streetviewpixels-pa.googleapis.com/v1/thumbnail?panoid=Xdu_YnghN6uxmTh9-JsmZg&amp;cb_client=search.gws-prod.gps&amp;w=408&amp;h=240&amp;yaw=270.94485&amp;pitch=0&amp;thumbfov=100", "link")</f>
        <v>link</v>
      </c>
    </row>
    <row r="5120" spans="1:4" x14ac:dyDescent="0.45">
      <c r="A5120" t="s">
        <v>5122</v>
      </c>
      <c r="B5120">
        <v>33.678515599999997</v>
      </c>
      <c r="C5120">
        <v>-117.850042</v>
      </c>
      <c r="D5120" t="str">
        <f>HYPERLINK("https://streetviewpixels-pa.googleapis.com/v1/thumbnail?panoid=6yNMgbiYnLsehUo5qXjJOg&amp;cb_client=search.gws-prod.gps&amp;w=408&amp;h=240&amp;yaw=140.9894&amp;pitch=0&amp;thumbfov=100", "link")</f>
        <v>link</v>
      </c>
    </row>
    <row r="5121" spans="1:4" x14ac:dyDescent="0.45">
      <c r="A5121" t="s">
        <v>5123</v>
      </c>
      <c r="B5121">
        <v>33.676806999999997</v>
      </c>
      <c r="C5121">
        <v>-117.84965320000001</v>
      </c>
      <c r="D5121" t="str">
        <f>HYPERLINK("https://lh5.googleusercontent.com/p/AF1QipNiMBB_7uwh_xyQdo9lV04YwQVHWDVEHACHksy4=w408-h544-k-no", "link")</f>
        <v>link</v>
      </c>
    </row>
    <row r="5122" spans="1:4" x14ac:dyDescent="0.45">
      <c r="A5122" t="s">
        <v>5124</v>
      </c>
      <c r="B5122">
        <v>33.653842599999997</v>
      </c>
      <c r="C5122">
        <v>-117.7830551</v>
      </c>
      <c r="D5122" t="s">
        <v>5</v>
      </c>
    </row>
    <row r="5123" spans="1:4" x14ac:dyDescent="0.45">
      <c r="A5123" t="s">
        <v>5125</v>
      </c>
      <c r="B5123">
        <v>33.653337000000001</v>
      </c>
      <c r="C5123">
        <v>-117.8083371</v>
      </c>
      <c r="D5123" t="s">
        <v>5</v>
      </c>
    </row>
    <row r="5124" spans="1:4" x14ac:dyDescent="0.45">
      <c r="A5124" t="s">
        <v>5126</v>
      </c>
      <c r="B5124">
        <v>33.654420700000003</v>
      </c>
      <c r="C5124">
        <v>-117.8085203</v>
      </c>
      <c r="D5124" t="s">
        <v>5</v>
      </c>
    </row>
    <row r="5125" spans="1:4" x14ac:dyDescent="0.45">
      <c r="A5125" t="s">
        <v>5127</v>
      </c>
      <c r="B5125">
        <v>33.652513900000002</v>
      </c>
      <c r="C5125">
        <v>-117.8090698</v>
      </c>
      <c r="D5125" t="s">
        <v>5</v>
      </c>
    </row>
    <row r="5126" spans="1:4" x14ac:dyDescent="0.45">
      <c r="A5126" t="s">
        <v>5128</v>
      </c>
      <c r="B5126">
        <v>33.669786199999997</v>
      </c>
      <c r="C5126">
        <v>-117.85676460000001</v>
      </c>
      <c r="D5126" t="str">
        <f>HYPERLINK("https://streetviewpixels-pa.googleapis.com/v1/thumbnail?panoid=Oc7WCqJT2NHuNTQw35xR-g&amp;cb_client=search.gws-prod.gps&amp;w=408&amp;h=240&amp;yaw=258.79846&amp;pitch=0&amp;thumbfov=100", "link")</f>
        <v>link</v>
      </c>
    </row>
    <row r="5127" spans="1:4" x14ac:dyDescent="0.45">
      <c r="A5127" t="s">
        <v>5129</v>
      </c>
      <c r="B5127">
        <v>33.679261599999997</v>
      </c>
      <c r="C5127">
        <v>-117.8387567</v>
      </c>
      <c r="D5127" t="str">
        <f>HYPERLINK("https://streetviewpixels-pa.googleapis.com/v1/thumbnail?panoid=peoKr2lk9cQ0Ycz4ibYaBA&amp;cb_client=search.gws-prod.gps&amp;w=408&amp;h=240&amp;yaw=63.3522&amp;pitch=0&amp;thumbfov=100", "link")</f>
        <v>link</v>
      </c>
    </row>
    <row r="5128" spans="1:4" x14ac:dyDescent="0.45">
      <c r="A5128" t="s">
        <v>5130</v>
      </c>
      <c r="B5128">
        <v>33.671323399999899</v>
      </c>
      <c r="C5128">
        <v>-117.85883579999999</v>
      </c>
      <c r="D5128" t="str">
        <f>HYPERLINK("https://streetviewpixels-pa.googleapis.com/v1/thumbnail?panoid=Uc4qaKEX6GR7AJtF_KyfGg&amp;cb_client=search.gws-prod.gps&amp;w=408&amp;h=240&amp;yaw=194.84319&amp;pitch=0&amp;thumbfov=100", "link")</f>
        <v>link</v>
      </c>
    </row>
    <row r="5129" spans="1:4" x14ac:dyDescent="0.45">
      <c r="A5129" t="s">
        <v>5131</v>
      </c>
      <c r="B5129">
        <v>33.670791000000001</v>
      </c>
      <c r="C5129">
        <v>-117.85852199999999</v>
      </c>
      <c r="D5129" t="str">
        <f>HYPERLINK("https://streetviewpixels-pa.googleapis.com/v1/thumbnail?panoid=rwfAXoV3491VuXYtyQaasg&amp;cb_client=search.gws-prod.gps&amp;w=408&amp;h=240&amp;yaw=253.0282&amp;pitch=0&amp;thumbfov=100", "link")</f>
        <v>link</v>
      </c>
    </row>
    <row r="5130" spans="1:4" x14ac:dyDescent="0.45">
      <c r="A5130" t="s">
        <v>5132</v>
      </c>
      <c r="B5130">
        <v>33.682398999999997</v>
      </c>
      <c r="C5130">
        <v>-117.84032550000001</v>
      </c>
      <c r="D5130" t="str">
        <f>HYPERLINK("https://lh5.googleusercontent.com/p/AF1QipMsBH1RfC8oKqkBzsAHk4Fqv7ZXCNb8f3aCuYV1=w493-h240-k-no", "link")</f>
        <v>link</v>
      </c>
    </row>
    <row r="5131" spans="1:4" x14ac:dyDescent="0.45">
      <c r="A5131" t="s">
        <v>5133</v>
      </c>
      <c r="B5131">
        <v>33.681793599999999</v>
      </c>
      <c r="C5131">
        <v>-117.839631</v>
      </c>
      <c r="D5131" t="str">
        <f>HYPERLINK("https://streetviewpixels-pa.googleapis.com/v1/thumbnail?panoid=9AHg4sRu3fH5U4dbaHcCyA&amp;cb_client=search.gws-prod.gps&amp;w=408&amp;h=240&amp;yaw=36.17035&amp;pitch=0&amp;thumbfov=100", "link")</f>
        <v>link</v>
      </c>
    </row>
    <row r="5132" spans="1:4" x14ac:dyDescent="0.45">
      <c r="A5132" t="s">
        <v>5134</v>
      </c>
      <c r="B5132">
        <v>33.679374600000003</v>
      </c>
      <c r="C5132">
        <v>-117.8383034</v>
      </c>
      <c r="D5132" t="str">
        <f>HYPERLINK("https://streetviewpixels-pa.googleapis.com/v1/thumbnail?panoid=zG7_lw0vKY6KNJCgFii3UA&amp;cb_client=search.gws-prod.gps&amp;w=408&amp;h=240&amp;yaw=69.575424&amp;pitch=0&amp;thumbfov=100", "link")</f>
        <v>link</v>
      </c>
    </row>
    <row r="5133" spans="1:4" x14ac:dyDescent="0.45">
      <c r="A5133" t="s">
        <v>5135</v>
      </c>
      <c r="B5133">
        <v>33.6768541</v>
      </c>
      <c r="C5133">
        <v>-117.8376621</v>
      </c>
      <c r="D5133" t="str">
        <f>HYPERLINK("https://streetviewpixels-pa.googleapis.com/v1/thumbnail?panoid=3jrt2oPNlFYUX5Gmxdj5cg&amp;cb_client=search.gws-prod.gps&amp;w=408&amp;h=240&amp;yaw=155.39977&amp;pitch=0&amp;thumbfov=100", "link")</f>
        <v>link</v>
      </c>
    </row>
    <row r="5134" spans="1:4" x14ac:dyDescent="0.45">
      <c r="A5134" t="s">
        <v>5136</v>
      </c>
      <c r="B5134">
        <v>33.670866699999998</v>
      </c>
      <c r="C5134">
        <v>-117.8594452</v>
      </c>
      <c r="D5134" t="str">
        <f>HYPERLINK("https://streetviewpixels-pa.googleapis.com/v1/thumbnail?panoid=-JBg2lt1bHQHy_ydc17OAQ&amp;cb_client=search.gws-prod.gps&amp;w=408&amp;h=240&amp;yaw=279.01144&amp;pitch=0&amp;thumbfov=100", "link")</f>
        <v>link</v>
      </c>
    </row>
    <row r="5135" spans="1:4" x14ac:dyDescent="0.45">
      <c r="A5135" t="s">
        <v>5137</v>
      </c>
      <c r="B5135">
        <v>33.671787100000003</v>
      </c>
      <c r="C5135">
        <v>-117.8602154</v>
      </c>
      <c r="D5135" t="str">
        <f>HYPERLINK("https://streetviewpixels-pa.googleapis.com/v1/thumbnail?panoid=rF5leUpfDm2qt2LX-85CsA&amp;cb_client=search.gws-prod.gps&amp;w=408&amp;h=240&amp;yaw=13.056776&amp;pitch=0&amp;thumbfov=100", "link")</f>
        <v>link</v>
      </c>
    </row>
    <row r="5136" spans="1:4" x14ac:dyDescent="0.45">
      <c r="A5136" t="s">
        <v>5138</v>
      </c>
      <c r="B5136">
        <v>33.676738100000001</v>
      </c>
      <c r="C5136">
        <v>-117.83688410000001</v>
      </c>
      <c r="D5136" t="str">
        <f>HYPERLINK("https://streetviewpixels-pa.googleapis.com/v1/thumbnail?panoid=P2G3Sm0bjR42IP1GzsQrmQ&amp;cb_client=search.gws-prod.gps&amp;w=408&amp;h=240&amp;yaw=153.33867&amp;pitch=0&amp;thumbfov=100", "link")</f>
        <v>link</v>
      </c>
    </row>
    <row r="5137" spans="1:4" x14ac:dyDescent="0.45">
      <c r="A5137" t="s">
        <v>5139</v>
      </c>
      <c r="B5137">
        <v>33.677807899999998</v>
      </c>
      <c r="C5137">
        <v>-117.83662579999999</v>
      </c>
      <c r="D5137" t="str">
        <f>HYPERLINK("https://lh5.googleusercontent.com/p/AF1QipOjrEFZeQTIUeb0kTs1X5sSg1ixVuEJa8GUrYcR=w408-h725-k-no", "link")</f>
        <v>link</v>
      </c>
    </row>
    <row r="5138" spans="1:4" x14ac:dyDescent="0.45">
      <c r="A5138" t="s">
        <v>5140</v>
      </c>
      <c r="B5138">
        <v>33.680041999999901</v>
      </c>
      <c r="C5138">
        <v>-117.837143</v>
      </c>
      <c r="D5138" t="str">
        <f>HYPERLINK("https://lh5.googleusercontent.com/p/AF1QipPldbEyVThhZS49oxJV93LpWw6QUXLnQWGN7bAQ=w408-h306-k-no", "link")</f>
        <v>link</v>
      </c>
    </row>
    <row r="5139" spans="1:4" x14ac:dyDescent="0.45">
      <c r="A5139" t="s">
        <v>5141</v>
      </c>
      <c r="B5139">
        <v>33.672456599999997</v>
      </c>
      <c r="C5139">
        <v>-117.8373704</v>
      </c>
      <c r="D5139" t="s">
        <v>5</v>
      </c>
    </row>
    <row r="5140" spans="1:4" x14ac:dyDescent="0.45">
      <c r="A5140" t="s">
        <v>5142</v>
      </c>
      <c r="B5140">
        <v>33.6737404</v>
      </c>
      <c r="C5140">
        <v>-117.8502828</v>
      </c>
      <c r="D5140" t="str">
        <f>HYPERLINK("https://lh5.googleusercontent.com/p/AF1QipPbyLgiK8hQQ-iF-KMdOvj2rPvF1L8ORXvtJDtu=w408-h252-k-no", "link")</f>
        <v>link</v>
      </c>
    </row>
    <row r="5141" spans="1:4" x14ac:dyDescent="0.45">
      <c r="A5141" t="s">
        <v>5143</v>
      </c>
      <c r="B5141">
        <v>33.674261100000003</v>
      </c>
      <c r="C5141">
        <v>-117.8575627</v>
      </c>
      <c r="D5141" t="s">
        <v>5</v>
      </c>
    </row>
    <row r="5142" spans="1:4" x14ac:dyDescent="0.45">
      <c r="A5142" t="s">
        <v>5144</v>
      </c>
      <c r="B5142">
        <v>33.674077699999998</v>
      </c>
      <c r="C5142">
        <v>-117.85765429999999</v>
      </c>
      <c r="D5142" t="str">
        <f>HYPERLINK("https://streetviewpixels-pa.googleapis.com/v1/thumbnail?panoid=mzP28rhOBQgKY9vjmTBUMg&amp;cb_client=search.gws-prod.gps&amp;w=408&amp;h=240&amp;yaw=60.14827&amp;pitch=0&amp;thumbfov=100", "link")</f>
        <v>link</v>
      </c>
    </row>
    <row r="5143" spans="1:4" x14ac:dyDescent="0.45">
      <c r="A5143" t="s">
        <v>5145</v>
      </c>
      <c r="B5143">
        <v>33.669649999999997</v>
      </c>
      <c r="C5143">
        <v>-117.8513289</v>
      </c>
      <c r="D5143" t="s">
        <v>5</v>
      </c>
    </row>
    <row r="5144" spans="1:4" x14ac:dyDescent="0.45">
      <c r="A5144" t="s">
        <v>5146</v>
      </c>
      <c r="B5144">
        <v>33.6791269</v>
      </c>
      <c r="C5144">
        <v>-117.8397587</v>
      </c>
      <c r="D5144" t="str">
        <f>HYPERLINK("https://streetviewpixels-pa.googleapis.com/v1/thumbnail?panoid=XzPtvP9cFyIORvZHjLAsew&amp;cb_client=search.gws-prod.gps&amp;w=408&amp;h=240&amp;yaw=11.192389&amp;pitch=0&amp;thumbfov=100", "link")</f>
        <v>link</v>
      </c>
    </row>
    <row r="5145" spans="1:4" x14ac:dyDescent="0.45">
      <c r="A5145" t="s">
        <v>5147</v>
      </c>
      <c r="B5145">
        <v>33.676922699999999</v>
      </c>
      <c r="C5145">
        <v>-117.83912309999999</v>
      </c>
      <c r="D5145" t="str">
        <f>HYPERLINK("https://lh5.googleusercontent.com/p/AF1QipOODYIgzr8VRXSUzVvFwvJ9E_XSFI5xprfUQRjI=w408-h544-k-no", "link")</f>
        <v>link</v>
      </c>
    </row>
    <row r="5146" spans="1:4" x14ac:dyDescent="0.45">
      <c r="A5146" t="s">
        <v>5148</v>
      </c>
      <c r="B5146">
        <v>33.671240699999899</v>
      </c>
      <c r="C5146">
        <v>-117.8583869</v>
      </c>
      <c r="D5146" t="s">
        <v>5</v>
      </c>
    </row>
    <row r="5147" spans="1:4" x14ac:dyDescent="0.45">
      <c r="A5147" t="s">
        <v>5149</v>
      </c>
      <c r="B5147">
        <v>33.669682999999999</v>
      </c>
      <c r="C5147">
        <v>-117.85657449999999</v>
      </c>
      <c r="D5147" t="str">
        <f>HYPERLINK("https://streetviewpixels-pa.googleapis.com/v1/thumbnail?panoid=Oc7WCqJT2NHuNTQw35xR-g&amp;cb_client=search.gws-prod.gps&amp;w=408&amp;h=240&amp;yaw=258.79846&amp;pitch=0&amp;thumbfov=100", "link")</f>
        <v>link</v>
      </c>
    </row>
    <row r="5148" spans="1:4" x14ac:dyDescent="0.45">
      <c r="A5148" t="s">
        <v>5150</v>
      </c>
      <c r="B5148">
        <v>33.688273799999997</v>
      </c>
      <c r="C5148">
        <v>-117.82816630000001</v>
      </c>
      <c r="D5148" t="s">
        <v>5</v>
      </c>
    </row>
    <row r="5149" spans="1:4" x14ac:dyDescent="0.45">
      <c r="A5149" t="s">
        <v>5151</v>
      </c>
      <c r="B5149">
        <v>33.687558099999997</v>
      </c>
      <c r="C5149">
        <v>-117.8256477</v>
      </c>
      <c r="D5149" t="s">
        <v>5</v>
      </c>
    </row>
    <row r="5150" spans="1:4" x14ac:dyDescent="0.45">
      <c r="A5150" t="s">
        <v>5152</v>
      </c>
      <c r="B5150">
        <v>33.691216699999998</v>
      </c>
      <c r="C5150">
        <v>-117.83068919999999</v>
      </c>
      <c r="D5150" t="s">
        <v>5</v>
      </c>
    </row>
    <row r="5151" spans="1:4" x14ac:dyDescent="0.45">
      <c r="A5151" t="s">
        <v>5153</v>
      </c>
      <c r="B5151">
        <v>33.661326799999998</v>
      </c>
      <c r="C5151">
        <v>-117.84039249999999</v>
      </c>
      <c r="D5151" t="s">
        <v>5</v>
      </c>
    </row>
    <row r="5152" spans="1:4" x14ac:dyDescent="0.45">
      <c r="A5152" t="s">
        <v>5154</v>
      </c>
      <c r="B5152">
        <v>33.691656399999999</v>
      </c>
      <c r="C5152">
        <v>-117.8303185</v>
      </c>
      <c r="D5152" t="s">
        <v>5</v>
      </c>
    </row>
    <row r="5153" spans="1:4" x14ac:dyDescent="0.45">
      <c r="A5153" t="s">
        <v>5155</v>
      </c>
      <c r="B5153">
        <v>33.662963400000002</v>
      </c>
      <c r="C5153">
        <v>-117.82666709999999</v>
      </c>
      <c r="D5153" t="str">
        <f>HYPERLINK("https://streetviewpixels-pa.googleapis.com/v1/thumbnail?panoid=riouTH81dSS1YbptZQAOxA&amp;cb_client=search.gws-prod.gps&amp;w=408&amp;h=240&amp;yaw=162.65784&amp;pitch=0&amp;thumbfov=100", "link")</f>
        <v>link</v>
      </c>
    </row>
    <row r="5154" spans="1:4" x14ac:dyDescent="0.45">
      <c r="A5154" t="s">
        <v>5156</v>
      </c>
      <c r="B5154">
        <v>33.691334099999999</v>
      </c>
      <c r="C5154">
        <v>-117.8455209</v>
      </c>
      <c r="D5154" t="s">
        <v>5</v>
      </c>
    </row>
    <row r="5155" spans="1:4" x14ac:dyDescent="0.45">
      <c r="A5155" t="s">
        <v>5157</v>
      </c>
      <c r="B5155">
        <v>33.662774200000001</v>
      </c>
      <c r="C5155">
        <v>-117.82652109999999</v>
      </c>
      <c r="D5155" t="str">
        <f>HYPERLINK("https://lh5.googleusercontent.com/p/AF1QipPLeQENaNk2BaP__I9dEsuPcEojdyQIn3fqSev1=w426-h240-k-no", "link")</f>
        <v>link</v>
      </c>
    </row>
    <row r="5156" spans="1:4" x14ac:dyDescent="0.45">
      <c r="A5156" t="s">
        <v>5158</v>
      </c>
      <c r="B5156">
        <v>33.665559600000002</v>
      </c>
      <c r="C5156">
        <v>-117.85403169999999</v>
      </c>
      <c r="D5156" t="s">
        <v>5</v>
      </c>
    </row>
    <row r="5157" spans="1:4" x14ac:dyDescent="0.45">
      <c r="A5157" t="s">
        <v>5159</v>
      </c>
      <c r="B5157">
        <v>33.675307400000001</v>
      </c>
      <c r="C5157">
        <v>-117.83332470000001</v>
      </c>
      <c r="D5157" t="s">
        <v>5</v>
      </c>
    </row>
    <row r="5158" spans="1:4" x14ac:dyDescent="0.45">
      <c r="A5158" t="s">
        <v>5160</v>
      </c>
      <c r="B5158">
        <v>33.676931500000002</v>
      </c>
      <c r="C5158">
        <v>-117.8259407</v>
      </c>
      <c r="D5158" t="s">
        <v>5</v>
      </c>
    </row>
    <row r="5159" spans="1:4" x14ac:dyDescent="0.45">
      <c r="A5159" t="s">
        <v>5161</v>
      </c>
      <c r="B5159">
        <v>33.686200399999997</v>
      </c>
      <c r="C5159">
        <v>-117.8361798</v>
      </c>
      <c r="D5159" t="s">
        <v>5</v>
      </c>
    </row>
    <row r="5160" spans="1:4" x14ac:dyDescent="0.45">
      <c r="A5160" t="s">
        <v>5162</v>
      </c>
      <c r="B5160">
        <v>33.668678800000002</v>
      </c>
      <c r="C5160">
        <v>-117.8636063</v>
      </c>
      <c r="D5160" t="str">
        <f>HYPERLINK("https://lh5.googleusercontent.com/p/AF1QipP-ksl7H-hjASqhG7Gbbk76JSlqY9j5jiOZijvn=w408-h306-k-no", "link")</f>
        <v>link</v>
      </c>
    </row>
    <row r="5161" spans="1:4" x14ac:dyDescent="0.45">
      <c r="A5161" t="s">
        <v>5163</v>
      </c>
      <c r="B5161">
        <v>33.659924599999997</v>
      </c>
      <c r="C5161">
        <v>-117.8734037</v>
      </c>
      <c r="D5161" t="s">
        <v>5</v>
      </c>
    </row>
    <row r="5162" spans="1:4" x14ac:dyDescent="0.45">
      <c r="A5162" t="s">
        <v>5164</v>
      </c>
      <c r="B5162">
        <v>33.647263500000001</v>
      </c>
      <c r="C5162">
        <v>-117.8551672</v>
      </c>
      <c r="D5162" t="s">
        <v>5</v>
      </c>
    </row>
    <row r="5163" spans="1:4" x14ac:dyDescent="0.45">
      <c r="A5163" t="s">
        <v>5165</v>
      </c>
      <c r="B5163">
        <v>33.669507199999998</v>
      </c>
      <c r="C5163">
        <v>-117.86172120000001</v>
      </c>
      <c r="D5163" t="str">
        <f>HYPERLINK("https://streetviewpixels-pa.googleapis.com/v1/thumbnail?panoid=J9Z5E9d2-AyPWTgtMyj-Og&amp;cb_client=search.gws-prod.gps&amp;w=408&amp;h=240&amp;yaw=27.520967&amp;pitch=0&amp;thumbfov=100", "link")</f>
        <v>link</v>
      </c>
    </row>
    <row r="5164" spans="1:4" x14ac:dyDescent="0.45">
      <c r="A5164" t="s">
        <v>5166</v>
      </c>
      <c r="B5164">
        <v>33.646071800000001</v>
      </c>
      <c r="C5164">
        <v>-117.8565945</v>
      </c>
      <c r="D5164" t="s">
        <v>5</v>
      </c>
    </row>
    <row r="5165" spans="1:4" x14ac:dyDescent="0.45">
      <c r="A5165" t="s">
        <v>5167</v>
      </c>
      <c r="B5165">
        <v>33.645789200000003</v>
      </c>
      <c r="C5165">
        <v>-117.85763249999999</v>
      </c>
      <c r="D5165" t="s">
        <v>5</v>
      </c>
    </row>
    <row r="5166" spans="1:4" x14ac:dyDescent="0.45">
      <c r="A5166" t="s">
        <v>5168</v>
      </c>
      <c r="B5166">
        <v>33.652087000000002</v>
      </c>
      <c r="C5166">
        <v>-117.84673669999999</v>
      </c>
      <c r="D5166" t="str">
        <f>HYPERLINK("https://lh5.googleusercontent.com/p/AF1QipMTsooOByQsGGmxceOTELuIA446pWh91xQ1Xs_v=w408-h544-k-no", "link")</f>
        <v>link</v>
      </c>
    </row>
    <row r="5167" spans="1:4" x14ac:dyDescent="0.45">
      <c r="A5167" t="s">
        <v>5169</v>
      </c>
      <c r="B5167">
        <v>33.653250200000002</v>
      </c>
      <c r="C5167">
        <v>-117.8459469</v>
      </c>
      <c r="D5167" t="s">
        <v>5</v>
      </c>
    </row>
    <row r="5168" spans="1:4" x14ac:dyDescent="0.45">
      <c r="A5168" t="s">
        <v>5170</v>
      </c>
      <c r="B5168">
        <v>33.645473899999999</v>
      </c>
      <c r="C5168">
        <v>-117.8561231</v>
      </c>
      <c r="D5168" t="s">
        <v>5</v>
      </c>
    </row>
    <row r="5169" spans="1:4" x14ac:dyDescent="0.45">
      <c r="A5169" t="s">
        <v>5171</v>
      </c>
      <c r="B5169">
        <v>33.6463702</v>
      </c>
      <c r="C5169">
        <v>-117.8512241</v>
      </c>
      <c r="D5169" t="s">
        <v>5</v>
      </c>
    </row>
    <row r="5170" spans="1:4" x14ac:dyDescent="0.45">
      <c r="A5170" t="s">
        <v>5172</v>
      </c>
      <c r="B5170">
        <v>33.644273300000002</v>
      </c>
      <c r="C5170">
        <v>-117.8562548</v>
      </c>
      <c r="D5170" t="s">
        <v>5</v>
      </c>
    </row>
    <row r="5171" spans="1:4" x14ac:dyDescent="0.45">
      <c r="A5171" t="s">
        <v>5173</v>
      </c>
      <c r="B5171">
        <v>33.6487768</v>
      </c>
      <c r="C5171">
        <v>-117.8467847</v>
      </c>
      <c r="D5171" t="s">
        <v>5</v>
      </c>
    </row>
    <row r="5172" spans="1:4" x14ac:dyDescent="0.45">
      <c r="A5172" t="s">
        <v>5174</v>
      </c>
      <c r="B5172">
        <v>33.657851000000001</v>
      </c>
      <c r="C5172">
        <v>-117.8600826</v>
      </c>
      <c r="D5172" t="str">
        <f>HYPERLINK("https://streetviewpixels-pa.googleapis.com/v1/thumbnail?panoid=2Svy9-TnciXCiGQYwZuQuQ&amp;cb_client=search.gws-prod.gps&amp;w=408&amp;h=240&amp;yaw=348.71112&amp;pitch=0&amp;thumbfov=100", "link")</f>
        <v>link</v>
      </c>
    </row>
    <row r="5173" spans="1:4" x14ac:dyDescent="0.45">
      <c r="A5173" t="s">
        <v>5175</v>
      </c>
      <c r="B5173">
        <v>33.656632600000002</v>
      </c>
      <c r="C5173">
        <v>-117.85948569999999</v>
      </c>
      <c r="D5173" t="str">
        <f>HYPERLINK("https://streetviewpixels-pa.googleapis.com/v1/thumbnail?panoid=6Rdt1BoNYnTUbmqq7M97Tw&amp;cb_client=search.gws-prod.gps&amp;w=408&amp;h=240&amp;yaw=315.62122&amp;pitch=0&amp;thumbfov=100", "link")</f>
        <v>link</v>
      </c>
    </row>
    <row r="5174" spans="1:4" x14ac:dyDescent="0.45">
      <c r="A5174" t="s">
        <v>5176</v>
      </c>
      <c r="B5174">
        <v>33.6596221</v>
      </c>
      <c r="C5174">
        <v>-117.8596831</v>
      </c>
      <c r="D5174" t="str">
        <f>HYPERLINK("https://streetviewpixels-pa.googleapis.com/v1/thumbnail?panoid=UUqY-o_80z3iGECU74pfMA&amp;cb_client=search.gws-prod.gps&amp;w=408&amp;h=240&amp;yaw=137.1268&amp;pitch=0&amp;thumbfov=100", "link")</f>
        <v>link</v>
      </c>
    </row>
    <row r="5175" spans="1:4" x14ac:dyDescent="0.45">
      <c r="A5175" t="s">
        <v>5177</v>
      </c>
      <c r="B5175">
        <v>33.6584766</v>
      </c>
      <c r="C5175">
        <v>-117.8655558</v>
      </c>
      <c r="D5175" t="str">
        <f>HYPERLINK("https://lh5.googleusercontent.com/p/AF1QipNlnGvMO8mp4qxmxt1SixsOfpJmTzIJTpl1xVGH=w408-h240-k-no-pi-20-ya20-ro-0-fo100", "link")</f>
        <v>link</v>
      </c>
    </row>
    <row r="5176" spans="1:4" x14ac:dyDescent="0.45">
      <c r="A5176" t="s">
        <v>5178</v>
      </c>
      <c r="B5176">
        <v>33.661379199999999</v>
      </c>
      <c r="C5176">
        <v>-117.8645887</v>
      </c>
      <c r="D5176" t="str">
        <f>HYPERLINK("https://streetviewpixels-pa.googleapis.com/v1/thumbnail?panoid=zxoFHg9IFsnelUipCXtkVw&amp;cb_client=search.gws-prod.gps&amp;w=408&amp;h=240&amp;yaw=157.30539&amp;pitch=0&amp;thumbfov=100", "link")</f>
        <v>link</v>
      </c>
    </row>
    <row r="5177" spans="1:4" x14ac:dyDescent="0.45">
      <c r="A5177" t="s">
        <v>5179</v>
      </c>
      <c r="B5177">
        <v>33.6618943</v>
      </c>
      <c r="C5177">
        <v>-117.8643388</v>
      </c>
      <c r="D5177" t="str">
        <f>HYPERLINK("https://streetviewpixels-pa.googleapis.com/v1/thumbnail?panoid=FtM9xoOfjWf00yGiuw1y8Q&amp;cb_client=search.gws-prod.gps&amp;w=408&amp;h=240&amp;yaw=136.6329&amp;pitch=0&amp;thumbfov=100", "link")</f>
        <v>link</v>
      </c>
    </row>
    <row r="5178" spans="1:4" x14ac:dyDescent="0.45">
      <c r="A5178" t="s">
        <v>5180</v>
      </c>
      <c r="B5178">
        <v>33.662987399999999</v>
      </c>
      <c r="C5178">
        <v>-117.86557329999999</v>
      </c>
      <c r="D5178" t="str">
        <f>HYPERLINK("https://streetviewpixels-pa.googleapis.com/v1/thumbnail?panoid=Hk-vHECBqy1-vUhkocuOdw&amp;cb_client=search.gws-prod.gps&amp;w=408&amp;h=240&amp;yaw=80.97277&amp;pitch=0&amp;thumbfov=100", "link")</f>
        <v>link</v>
      </c>
    </row>
    <row r="5179" spans="1:4" x14ac:dyDescent="0.45">
      <c r="A5179" t="s">
        <v>5181</v>
      </c>
      <c r="B5179">
        <v>33.6620901</v>
      </c>
      <c r="C5179">
        <v>-117.8666738</v>
      </c>
      <c r="D5179" t="str">
        <f>HYPERLINK("https://streetviewpixels-pa.googleapis.com/v1/thumbnail?panoid=fAnxeUJhvdECzG4bbpBcYg&amp;cb_client=search.gws-prod.gps&amp;w=408&amp;h=240&amp;yaw=261.03094&amp;pitch=0&amp;thumbfov=100", "link")</f>
        <v>link</v>
      </c>
    </row>
    <row r="5180" spans="1:4" x14ac:dyDescent="0.45">
      <c r="A5180" t="s">
        <v>5182</v>
      </c>
      <c r="B5180">
        <v>33.664139300000002</v>
      </c>
      <c r="C5180">
        <v>-117.8555442</v>
      </c>
      <c r="D5180" t="s">
        <v>5</v>
      </c>
    </row>
    <row r="5181" spans="1:4" x14ac:dyDescent="0.45">
      <c r="A5181" t="s">
        <v>5183</v>
      </c>
      <c r="B5181">
        <v>33.654597799999998</v>
      </c>
      <c r="C5181">
        <v>-117.8681369</v>
      </c>
      <c r="D5181" t="str">
        <f>HYPERLINK("https://streetviewpixels-pa.googleapis.com/v1/thumbnail?panoid=454-vy_8XaHzD5cF-81Vmg&amp;cb_client=search.gws-prod.gps&amp;w=408&amp;h=240&amp;yaw=174.93896&amp;pitch=0&amp;thumbfov=100", "link")</f>
        <v>link</v>
      </c>
    </row>
    <row r="5182" spans="1:4" x14ac:dyDescent="0.45">
      <c r="A5182" t="s">
        <v>5184</v>
      </c>
      <c r="B5182">
        <v>33.665395400000001</v>
      </c>
      <c r="C5182">
        <v>-117.8595133</v>
      </c>
      <c r="D5182" t="str">
        <f>HYPERLINK("https://lh5.googleusercontent.com/p/AF1QipO_IJonqVtBQwpSVd_3rjnYnAwDbfBe0c39GBMD=w456-h240-k-no", "link")</f>
        <v>link</v>
      </c>
    </row>
    <row r="5183" spans="1:4" x14ac:dyDescent="0.45">
      <c r="A5183" t="s">
        <v>5185</v>
      </c>
      <c r="B5183">
        <v>33.6498767</v>
      </c>
      <c r="C5183">
        <v>-117.8595657</v>
      </c>
      <c r="D5183" t="str">
        <f>HYPERLINK("https://streetviewpixels-pa.googleapis.com/v1/thumbnail?panoid=CN3pNx7vXiKcNhgFCDe4Vw&amp;cb_client=search.gws-prod.gps&amp;w=408&amp;h=240&amp;yaw=155.74788&amp;pitch=0&amp;thumbfov=100", "link")</f>
        <v>link</v>
      </c>
    </row>
    <row r="5184" spans="1:4" x14ac:dyDescent="0.45">
      <c r="A5184" t="s">
        <v>5186</v>
      </c>
      <c r="B5184">
        <v>33.649494099999998</v>
      </c>
      <c r="C5184">
        <v>-117.8595428</v>
      </c>
      <c r="D5184" t="str">
        <f>HYPERLINK("https://streetviewpixels-pa.googleapis.com/v1/thumbnail?panoid=ep-GdqfI5xL33dzk-_Pcgw&amp;cb_client=search.gws-prod.gps&amp;w=408&amp;h=240&amp;yaw=154.72224&amp;pitch=0&amp;thumbfov=100", "link")</f>
        <v>link</v>
      </c>
    </row>
    <row r="5185" spans="1:4" x14ac:dyDescent="0.45">
      <c r="A5185" t="s">
        <v>5187</v>
      </c>
      <c r="B5185">
        <v>33.6662192</v>
      </c>
      <c r="C5185">
        <v>-117.8605795</v>
      </c>
      <c r="D5185" t="s">
        <v>5</v>
      </c>
    </row>
    <row r="5186" spans="1:4" x14ac:dyDescent="0.45">
      <c r="A5186" t="s">
        <v>5188</v>
      </c>
      <c r="B5186">
        <v>33.654242199999999</v>
      </c>
      <c r="C5186">
        <v>-117.8695352</v>
      </c>
      <c r="D5186" t="str">
        <f>HYPERLINK("https://streetviewpixels-pa.googleapis.com/v1/thumbnail?panoid=a6muOlbWPTQH6ja7BMLBmQ&amp;cb_client=search.gws-prod.gps&amp;w=408&amp;h=240&amp;yaw=273.54672&amp;pitch=0&amp;thumbfov=100", "link")</f>
        <v>link</v>
      </c>
    </row>
    <row r="5187" spans="1:4" x14ac:dyDescent="0.45">
      <c r="A5187" t="s">
        <v>5189</v>
      </c>
      <c r="B5187">
        <v>33.665225300000003</v>
      </c>
      <c r="C5187">
        <v>-117.8542647</v>
      </c>
      <c r="D5187" t="s">
        <v>5</v>
      </c>
    </row>
    <row r="5188" spans="1:4" x14ac:dyDescent="0.45">
      <c r="A5188" t="s">
        <v>5190</v>
      </c>
      <c r="B5188">
        <v>33.649568199999997</v>
      </c>
      <c r="C5188">
        <v>-117.8548349</v>
      </c>
      <c r="D5188" t="s">
        <v>5</v>
      </c>
    </row>
    <row r="5189" spans="1:4" x14ac:dyDescent="0.45">
      <c r="A5189" t="s">
        <v>5191</v>
      </c>
      <c r="B5189">
        <v>33.648077000000001</v>
      </c>
      <c r="C5189">
        <v>-117.85352589999999</v>
      </c>
      <c r="D5189" t="s">
        <v>5</v>
      </c>
    </row>
    <row r="5190" spans="1:4" x14ac:dyDescent="0.45">
      <c r="A5190" t="s">
        <v>5192</v>
      </c>
      <c r="B5190">
        <v>33.696295300000003</v>
      </c>
      <c r="C5190">
        <v>-117.8590279</v>
      </c>
      <c r="D5190" t="str">
        <f>HYPERLINK("https://streetviewpixels-pa.googleapis.com/v1/thumbnail?panoid=ic3I8wC-jKNGTpvxiE-4dA&amp;cb_client=search.gws-prod.gps&amp;w=408&amp;h=240&amp;yaw=329.44223&amp;pitch=0&amp;thumbfov=100", "link")</f>
        <v>link</v>
      </c>
    </row>
    <row r="5191" spans="1:4" x14ac:dyDescent="0.45">
      <c r="A5191" t="s">
        <v>5193</v>
      </c>
      <c r="B5191">
        <v>33.647694399999999</v>
      </c>
      <c r="C5191">
        <v>-117.83806939999999</v>
      </c>
      <c r="D5191" t="s">
        <v>5</v>
      </c>
    </row>
    <row r="5192" spans="1:4" x14ac:dyDescent="0.45">
      <c r="A5192" t="s">
        <v>5194</v>
      </c>
      <c r="B5192">
        <v>33.647464399999997</v>
      </c>
      <c r="C5192">
        <v>-117.8370956</v>
      </c>
      <c r="D5192" t="str">
        <f>HYPERLINK("https://streetviewpixels-pa.googleapis.com/v1/thumbnail?panoid=TpYZ32sPMGVCzs149KHrHg&amp;cb_client=search.gws-prod.gps&amp;w=408&amp;h=240&amp;yaw=351.7905&amp;pitch=0&amp;thumbfov=100", "link")</f>
        <v>link</v>
      </c>
    </row>
    <row r="5193" spans="1:4" x14ac:dyDescent="0.45">
      <c r="A5193" t="s">
        <v>5195</v>
      </c>
      <c r="B5193">
        <v>33.648096299999999</v>
      </c>
      <c r="C5193">
        <v>-117.83912650000001</v>
      </c>
      <c r="D5193" t="s">
        <v>5</v>
      </c>
    </row>
    <row r="5194" spans="1:4" x14ac:dyDescent="0.45">
      <c r="A5194" t="s">
        <v>5196</v>
      </c>
      <c r="B5194">
        <v>33.646661399999999</v>
      </c>
      <c r="C5194">
        <v>-117.837205</v>
      </c>
      <c r="D5194" t="s">
        <v>5</v>
      </c>
    </row>
    <row r="5195" spans="1:4" x14ac:dyDescent="0.45">
      <c r="A5195" t="s">
        <v>5197</v>
      </c>
      <c r="B5195">
        <v>33.649189100000001</v>
      </c>
      <c r="C5195">
        <v>-117.8382862</v>
      </c>
      <c r="D5195" t="s">
        <v>5</v>
      </c>
    </row>
    <row r="5196" spans="1:4" x14ac:dyDescent="0.45">
      <c r="A5196" t="s">
        <v>5198</v>
      </c>
      <c r="B5196">
        <v>33.647728600000001</v>
      </c>
      <c r="C5196">
        <v>-117.84015479999999</v>
      </c>
      <c r="D5196" t="s">
        <v>5</v>
      </c>
    </row>
    <row r="5197" spans="1:4" x14ac:dyDescent="0.45">
      <c r="A5197" t="s">
        <v>5199</v>
      </c>
      <c r="B5197">
        <v>33.646491300000001</v>
      </c>
      <c r="C5197">
        <v>-117.8362697</v>
      </c>
      <c r="D5197" t="s">
        <v>5</v>
      </c>
    </row>
    <row r="5198" spans="1:4" x14ac:dyDescent="0.45">
      <c r="A5198" t="s">
        <v>5200</v>
      </c>
      <c r="B5198">
        <v>33.650012199999999</v>
      </c>
      <c r="C5198">
        <v>-117.8375535</v>
      </c>
      <c r="D5198" t="s">
        <v>5</v>
      </c>
    </row>
    <row r="5199" spans="1:4" x14ac:dyDescent="0.45">
      <c r="A5199" t="s">
        <v>5201</v>
      </c>
      <c r="B5199">
        <v>33.645496100000003</v>
      </c>
      <c r="C5199">
        <v>-117.8364088</v>
      </c>
      <c r="D5199" t="s">
        <v>5</v>
      </c>
    </row>
    <row r="5200" spans="1:4" x14ac:dyDescent="0.45">
      <c r="A5200" t="s">
        <v>5202</v>
      </c>
      <c r="B5200">
        <v>33.647194599999999</v>
      </c>
      <c r="C5200">
        <v>-117.8347923</v>
      </c>
      <c r="D5200" t="s">
        <v>5</v>
      </c>
    </row>
    <row r="5201" spans="1:4" x14ac:dyDescent="0.45">
      <c r="A5201" t="s">
        <v>5203</v>
      </c>
      <c r="B5201">
        <v>33.650910400000001</v>
      </c>
      <c r="C5201">
        <v>-117.83833199999999</v>
      </c>
      <c r="D5201" t="str">
        <f>HYPERLINK("https://streetviewpixels-pa.googleapis.com/v1/thumbnail?panoid=Hh3fX6PczETRvO1OaKD8eg&amp;cb_client=search.gws-prod.gps&amp;w=408&amp;h=240&amp;yaw=177.4868&amp;pitch=0&amp;thumbfov=100", "link")</f>
        <v>link</v>
      </c>
    </row>
    <row r="5202" spans="1:4" x14ac:dyDescent="0.45">
      <c r="A5202" t="s">
        <v>5204</v>
      </c>
      <c r="B5202">
        <v>33.650265300000001</v>
      </c>
      <c r="C5202">
        <v>-117.8404841</v>
      </c>
      <c r="D5202" t="str">
        <f>HYPERLINK("https://streetviewpixels-pa.googleapis.com/v1/thumbnail?panoid=Shda467RvTUxcbMgtzg-UQ&amp;cb_client=search.gws-prod.gps&amp;w=408&amp;h=240&amp;yaw=204.16618&amp;pitch=0&amp;thumbfov=100", "link")</f>
        <v>link</v>
      </c>
    </row>
    <row r="5203" spans="1:4" x14ac:dyDescent="0.45">
      <c r="A5203" t="s">
        <v>5205</v>
      </c>
      <c r="B5203">
        <v>33.646599999999999</v>
      </c>
      <c r="C5203">
        <v>-117.8341029</v>
      </c>
      <c r="D5203" t="s">
        <v>5</v>
      </c>
    </row>
    <row r="5204" spans="1:4" x14ac:dyDescent="0.45">
      <c r="A5204" t="s">
        <v>5206</v>
      </c>
      <c r="B5204">
        <v>33.647385200000002</v>
      </c>
      <c r="C5204">
        <v>-117.8338545</v>
      </c>
      <c r="D5204" t="s">
        <v>5</v>
      </c>
    </row>
    <row r="5205" spans="1:4" x14ac:dyDescent="0.45">
      <c r="A5205" t="s">
        <v>5207</v>
      </c>
      <c r="B5205">
        <v>33.6442628</v>
      </c>
      <c r="C5205">
        <v>-117.83915620000001</v>
      </c>
      <c r="D5205" t="s">
        <v>5</v>
      </c>
    </row>
    <row r="5206" spans="1:4" x14ac:dyDescent="0.45">
      <c r="A5206" t="s">
        <v>5208</v>
      </c>
      <c r="B5206">
        <v>33.647058299999998</v>
      </c>
      <c r="C5206">
        <v>-117.8336862</v>
      </c>
      <c r="D5206" t="s">
        <v>5</v>
      </c>
    </row>
    <row r="5207" spans="1:4" x14ac:dyDescent="0.45">
      <c r="A5207" t="s">
        <v>5209</v>
      </c>
      <c r="B5207">
        <v>33.6514454</v>
      </c>
      <c r="C5207">
        <v>-117.8382862</v>
      </c>
      <c r="D5207" t="s">
        <v>5</v>
      </c>
    </row>
    <row r="5208" spans="1:4" x14ac:dyDescent="0.45">
      <c r="A5208" t="s">
        <v>5210</v>
      </c>
      <c r="B5208">
        <v>33.644889399999997</v>
      </c>
      <c r="C5208">
        <v>-117.8348431</v>
      </c>
      <c r="D5208" t="s">
        <v>5</v>
      </c>
    </row>
    <row r="5209" spans="1:4" x14ac:dyDescent="0.45">
      <c r="A5209" t="s">
        <v>5211</v>
      </c>
      <c r="B5209">
        <v>33.651410800000001</v>
      </c>
      <c r="C5209">
        <v>-117.83975150000001</v>
      </c>
      <c r="D5209" t="s">
        <v>5</v>
      </c>
    </row>
    <row r="5210" spans="1:4" x14ac:dyDescent="0.45">
      <c r="A5210" t="s">
        <v>5212</v>
      </c>
      <c r="B5210">
        <v>33.645089599999999</v>
      </c>
      <c r="C5210">
        <v>-117.8341865</v>
      </c>
      <c r="D5210" t="s">
        <v>5</v>
      </c>
    </row>
    <row r="5211" spans="1:4" x14ac:dyDescent="0.45">
      <c r="A5211" t="s">
        <v>5213</v>
      </c>
      <c r="B5211">
        <v>33.546521599999998</v>
      </c>
      <c r="C5211">
        <v>-117.7934302</v>
      </c>
      <c r="D5211" t="s">
        <v>5</v>
      </c>
    </row>
    <row r="5212" spans="1:4" x14ac:dyDescent="0.45">
      <c r="A5212" t="s">
        <v>5214</v>
      </c>
      <c r="B5212">
        <v>33.547108399999999</v>
      </c>
      <c r="C5212">
        <v>-117.793457</v>
      </c>
      <c r="D5212" t="s">
        <v>5</v>
      </c>
    </row>
    <row r="5213" spans="1:4" x14ac:dyDescent="0.45">
      <c r="A5213" t="s">
        <v>5215</v>
      </c>
      <c r="B5213">
        <v>33.545154599999996</v>
      </c>
      <c r="C5213">
        <v>-117.79466669999999</v>
      </c>
      <c r="D5213" t="str">
        <f>HYPERLINK("https://lh5.googleusercontent.com/p/AF1QipMb2suOJlE909sUMC6cvit2egGxpsnR4TFdFjg-=w408-h306-k-no", "link")</f>
        <v>link</v>
      </c>
    </row>
    <row r="5214" spans="1:4" x14ac:dyDescent="0.45">
      <c r="A5214" t="s">
        <v>5216</v>
      </c>
      <c r="B5214">
        <v>33.543258000000002</v>
      </c>
      <c r="C5214">
        <v>-117.7851405</v>
      </c>
      <c r="D5214" t="str">
        <f>HYPERLINK("https://lh5.googleusercontent.com/p/AF1QipOVdItShh44JAqBqNrmaTGAUJ-tuHGClLRjySBA=w408-h544-k-no", "link")</f>
        <v>link</v>
      </c>
    </row>
    <row r="5215" spans="1:4" x14ac:dyDescent="0.45">
      <c r="A5215" t="s">
        <v>5217</v>
      </c>
      <c r="B5215">
        <v>33.543513699999998</v>
      </c>
      <c r="C5215">
        <v>-117.7842744</v>
      </c>
      <c r="D5215" t="str">
        <f>HYPERLINK("https://streetviewpixels-pa.googleapis.com/v1/thumbnail?panoid=E4s6325UGvLJeozubm-m1w&amp;cb_client=search.gws-prod.gps&amp;w=408&amp;h=240&amp;yaw=132.29929&amp;pitch=0&amp;thumbfov=100", "link")</f>
        <v>link</v>
      </c>
    </row>
    <row r="5216" spans="1:4" x14ac:dyDescent="0.45">
      <c r="A5216" t="s">
        <v>5218</v>
      </c>
      <c r="B5216">
        <v>33.544036300000002</v>
      </c>
      <c r="C5216">
        <v>-117.78573160000001</v>
      </c>
      <c r="D5216" t="str">
        <f>HYPERLINK("https://streetviewpixels-pa.googleapis.com/v1/thumbnail?panoid=vQ6NMJw9vHzy6kaVrOM6-A&amp;cb_client=search.gws-prod.gps&amp;w=408&amp;h=240&amp;yaw=140.80873&amp;pitch=0&amp;thumbfov=100", "link")</f>
        <v>link</v>
      </c>
    </row>
    <row r="5217" spans="1:4" x14ac:dyDescent="0.45">
      <c r="A5217" t="s">
        <v>5219</v>
      </c>
      <c r="B5217">
        <v>33.542983499999998</v>
      </c>
      <c r="C5217">
        <v>-117.7834235</v>
      </c>
      <c r="D5217" t="s">
        <v>5</v>
      </c>
    </row>
    <row r="5218" spans="1:4" x14ac:dyDescent="0.45">
      <c r="A5218" t="s">
        <v>5220</v>
      </c>
      <c r="B5218">
        <v>33.543723300000003</v>
      </c>
      <c r="C5218">
        <v>-117.7871129</v>
      </c>
      <c r="D5218" t="s">
        <v>5</v>
      </c>
    </row>
    <row r="5219" spans="1:4" x14ac:dyDescent="0.45">
      <c r="A5219" t="s">
        <v>5221</v>
      </c>
      <c r="B5219">
        <v>33.544638300000003</v>
      </c>
      <c r="C5219">
        <v>-117.78381090000001</v>
      </c>
      <c r="D5219" t="str">
        <f>HYPERLINK("https://streetviewpixels-pa.googleapis.com/v1/thumbnail?panoid=ENZ158rpAKdo58ZkubPrgw&amp;cb_client=search.gws-prod.gps&amp;w=408&amp;h=240&amp;yaw=310.14584&amp;pitch=0&amp;thumbfov=100", "link")</f>
        <v>link</v>
      </c>
    </row>
    <row r="5220" spans="1:4" x14ac:dyDescent="0.45">
      <c r="A5220" t="s">
        <v>5222</v>
      </c>
      <c r="B5220">
        <v>33.544133799999997</v>
      </c>
      <c r="C5220">
        <v>-117.78244410000001</v>
      </c>
      <c r="D5220" t="str">
        <f>HYPERLINK("https://lh5.googleusercontent.com/p/AF1QipOtt0lNZ-Qm_EI-fstRg2ew-F-WCGO_DYCB6sEE=w408-h306-k-no", "link")</f>
        <v>link</v>
      </c>
    </row>
    <row r="5221" spans="1:4" x14ac:dyDescent="0.45">
      <c r="A5221" t="s">
        <v>5223</v>
      </c>
      <c r="B5221">
        <v>33.542710300000003</v>
      </c>
      <c r="C5221">
        <v>-117.782169</v>
      </c>
      <c r="D5221" t="str">
        <f>HYPERLINK("https://streetviewpixels-pa.googleapis.com/v1/thumbnail?panoid=P9Z8OQ2pxb0WybmNjDibXg&amp;cb_client=search.gws-prod.gps&amp;w=408&amp;h=240&amp;yaw=66.242424&amp;pitch=0&amp;thumbfov=100", "link")</f>
        <v>link</v>
      </c>
    </row>
    <row r="5222" spans="1:4" x14ac:dyDescent="0.45">
      <c r="A5222" t="s">
        <v>5224</v>
      </c>
      <c r="B5222">
        <v>33.543505099999997</v>
      </c>
      <c r="C5222">
        <v>-117.7882309</v>
      </c>
      <c r="D5222" t="str">
        <f>HYPERLINK("https://streetviewpixels-pa.googleapis.com/v1/thumbnail?panoid=Y5IC3JYDzlbdyWTTkqCt8w&amp;cb_client=search.gws-prod.gps&amp;w=408&amp;h=240&amp;yaw=110.70827&amp;pitch=0&amp;thumbfov=100", "link")</f>
        <v>link</v>
      </c>
    </row>
    <row r="5223" spans="1:4" x14ac:dyDescent="0.45">
      <c r="A5223" t="s">
        <v>5225</v>
      </c>
      <c r="B5223">
        <v>33.540855499999999</v>
      </c>
      <c r="C5223">
        <v>-117.78268869999999</v>
      </c>
      <c r="D5223" t="s">
        <v>5</v>
      </c>
    </row>
    <row r="5224" spans="1:4" x14ac:dyDescent="0.45">
      <c r="A5224" t="s">
        <v>5226</v>
      </c>
      <c r="B5224">
        <v>33.540740499999998</v>
      </c>
      <c r="C5224">
        <v>-117.78274159999999</v>
      </c>
      <c r="D5224" t="s">
        <v>5</v>
      </c>
    </row>
    <row r="5225" spans="1:4" x14ac:dyDescent="0.45">
      <c r="A5225" t="s">
        <v>5227</v>
      </c>
      <c r="B5225">
        <v>33.5412392</v>
      </c>
      <c r="C5225">
        <v>-117.7817726</v>
      </c>
      <c r="D5225" t="str">
        <f>HYPERLINK("https://streetviewpixels-pa.googleapis.com/v1/thumbnail?panoid=ZeWuDqY8tvHNlav2cOCKUw&amp;cb_client=search.gws-prod.gps&amp;w=408&amp;h=240&amp;yaw=232.6958&amp;pitch=0&amp;thumbfov=100", "link")</f>
        <v>link</v>
      </c>
    </row>
    <row r="5226" spans="1:4" x14ac:dyDescent="0.45">
      <c r="A5226" t="s">
        <v>5228</v>
      </c>
      <c r="B5226">
        <v>33.543561799999999</v>
      </c>
      <c r="C5226">
        <v>-117.78992719999999</v>
      </c>
      <c r="D5226" t="str">
        <f>HYPERLINK("https://lh5.googleusercontent.com/p/AF1QipNISJMXQwpyFkc9HM0CvEzPTmBcJXxhTwBs_Gzr=w408-h306-k-no", "link")</f>
        <v>link</v>
      </c>
    </row>
    <row r="5227" spans="1:4" x14ac:dyDescent="0.45">
      <c r="A5227" t="s">
        <v>5229</v>
      </c>
      <c r="B5227">
        <v>33.544103900000003</v>
      </c>
      <c r="C5227">
        <v>-117.7920917</v>
      </c>
      <c r="D5227" t="str">
        <f>HYPERLINK("https://lh5.googleusercontent.com/p/AF1QipOtB6FtPK2kA670zw1B6BINS-d9SO9BZXhNqyn2=w408-h306-k-no", "link")</f>
        <v>link</v>
      </c>
    </row>
    <row r="5228" spans="1:4" x14ac:dyDescent="0.45">
      <c r="A5228" t="s">
        <v>5230</v>
      </c>
      <c r="B5228">
        <v>33.806193999999998</v>
      </c>
      <c r="C5228">
        <v>-118.11135350000001</v>
      </c>
      <c r="D5228" t="s">
        <v>5</v>
      </c>
    </row>
    <row r="5229" spans="1:4" x14ac:dyDescent="0.45">
      <c r="A5229" t="s">
        <v>5231</v>
      </c>
      <c r="B5229">
        <v>33.787315700000001</v>
      </c>
      <c r="C5229">
        <v>-118.1084273</v>
      </c>
      <c r="D5229" t="s">
        <v>5</v>
      </c>
    </row>
    <row r="5230" spans="1:4" x14ac:dyDescent="0.45">
      <c r="A5230" t="s">
        <v>5232</v>
      </c>
      <c r="B5230">
        <v>33.571880399999998</v>
      </c>
      <c r="C5230">
        <v>-117.5925177</v>
      </c>
      <c r="D5230" t="s">
        <v>5</v>
      </c>
    </row>
    <row r="5231" spans="1:4" x14ac:dyDescent="0.45">
      <c r="A5231" t="s">
        <v>5233</v>
      </c>
      <c r="B5231">
        <v>33.613525699999997</v>
      </c>
      <c r="C5231">
        <v>-117.9302076</v>
      </c>
      <c r="D5231" t="str">
        <f>HYPERLINK("https://streetviewpixels-pa.googleapis.com/v1/thumbnail?panoid=XDkg1JDSwAP8sIPTXzwsmg&amp;cb_client=search.gws-prod.gps&amp;w=408&amp;h=240&amp;yaw=287.36633&amp;pitch=0&amp;thumbfov=100", "link")</f>
        <v>link</v>
      </c>
    </row>
    <row r="5232" spans="1:4" x14ac:dyDescent="0.45">
      <c r="A5232" t="s">
        <v>5234</v>
      </c>
      <c r="B5232">
        <v>33.614071199999998</v>
      </c>
      <c r="C5232">
        <v>-117.9305154</v>
      </c>
      <c r="D5232" t="str">
        <f>HYPERLINK("https://streetviewpixels-pa.googleapis.com/v1/thumbnail?panoid=3u1ttmg0v_VRB_FcTtwC7A&amp;cb_client=search.gws-prod.gps&amp;w=408&amp;h=240&amp;yaw=345.75098&amp;pitch=0&amp;thumbfov=100", "link")</f>
        <v>link</v>
      </c>
    </row>
    <row r="5233" spans="1:4" x14ac:dyDescent="0.45">
      <c r="A5233" t="s">
        <v>5235</v>
      </c>
      <c r="B5233">
        <v>33.614475400000003</v>
      </c>
      <c r="C5233">
        <v>-117.92891299999999</v>
      </c>
      <c r="D5233" t="str">
        <f>HYPERLINK("https://streetviewpixels-pa.googleapis.com/v1/thumbnail?panoid=DKQHrGk0lYofe7dwpNkb_Q&amp;cb_client=search.gws-prod.gps&amp;w=408&amp;h=240&amp;yaw=279.72986&amp;pitch=0&amp;thumbfov=100", "link")</f>
        <v>link</v>
      </c>
    </row>
    <row r="5234" spans="1:4" x14ac:dyDescent="0.45">
      <c r="A5234" t="s">
        <v>5236</v>
      </c>
      <c r="B5234">
        <v>33.615878500000001</v>
      </c>
      <c r="C5234">
        <v>-117.9284095</v>
      </c>
      <c r="D5234" t="s">
        <v>5</v>
      </c>
    </row>
    <row r="5235" spans="1:4" x14ac:dyDescent="0.45">
      <c r="A5235" t="s">
        <v>5237</v>
      </c>
      <c r="B5235">
        <v>33.6158681</v>
      </c>
      <c r="C5235">
        <v>-117.928287</v>
      </c>
      <c r="D5235" t="s">
        <v>5</v>
      </c>
    </row>
    <row r="5236" spans="1:4" x14ac:dyDescent="0.45">
      <c r="A5236" t="s">
        <v>5238</v>
      </c>
      <c r="B5236">
        <v>33.616743200000002</v>
      </c>
      <c r="C5236">
        <v>-117.92966509999999</v>
      </c>
      <c r="D5236" t="str">
        <f>HYPERLINK("https://streetviewpixels-pa.googleapis.com/v1/thumbnail?panoid=xxARnEk6pwCl7WUPw-XymQ&amp;cb_client=search.gws-prod.gps&amp;w=408&amp;h=240&amp;yaw=171.34467&amp;pitch=0&amp;thumbfov=100", "link")</f>
        <v>link</v>
      </c>
    </row>
    <row r="5237" spans="1:4" x14ac:dyDescent="0.45">
      <c r="A5237" t="s">
        <v>5239</v>
      </c>
      <c r="B5237">
        <v>33.618606300000003</v>
      </c>
      <c r="C5237">
        <v>-117.9293625</v>
      </c>
      <c r="D5237" t="str">
        <f>HYPERLINK("https://streetviewpixels-pa.googleapis.com/v1/thumbnail?panoid=DP1brAkf_74rD5G4ltmclg&amp;cb_client=search.gws-prod.gps&amp;w=408&amp;h=240&amp;yaw=34.47104&amp;pitch=0&amp;thumbfov=100", "link")</f>
        <v>link</v>
      </c>
    </row>
    <row r="5238" spans="1:4" x14ac:dyDescent="0.45">
      <c r="A5238" t="s">
        <v>5240</v>
      </c>
      <c r="B5238">
        <v>33.788806200000003</v>
      </c>
      <c r="C5238">
        <v>-117.8575292</v>
      </c>
      <c r="D5238" t="str">
        <f>HYPERLINK("https://lh5.googleusercontent.com/p/AF1QipObCQirSOrzC1wFHirD4_rUg9AvK9WCdbF4TllB=w408-h306-k-no", "link")</f>
        <v>link</v>
      </c>
    </row>
    <row r="5239" spans="1:4" x14ac:dyDescent="0.45">
      <c r="A5239" t="s">
        <v>5241</v>
      </c>
      <c r="B5239">
        <v>33.789048999999999</v>
      </c>
      <c r="C5239">
        <v>-117.855435</v>
      </c>
      <c r="D5239" t="str">
        <f>HYPERLINK("https://lh5.googleusercontent.com/p/AF1QipPGDQ5yyJczq10K7cSP6aY2nhjvm6rbI-_pJiHP=w408-h306-k-no", "link")</f>
        <v>link</v>
      </c>
    </row>
    <row r="5240" spans="1:4" x14ac:dyDescent="0.45">
      <c r="A5240" t="s">
        <v>5242</v>
      </c>
      <c r="B5240">
        <v>33.789827299999999</v>
      </c>
      <c r="C5240">
        <v>-117.8558077</v>
      </c>
      <c r="D5240" t="str">
        <f>HYPERLINK("https://streetviewpixels-pa.googleapis.com/v1/thumbnail?panoid=RLxIYge5vC6a2oFZkwyqdw&amp;cb_client=search.gws-prod.gps&amp;w=408&amp;h=240&amp;yaw=29.65078&amp;pitch=0&amp;thumbfov=100", "link")</f>
        <v>link</v>
      </c>
    </row>
    <row r="5241" spans="1:4" x14ac:dyDescent="0.45">
      <c r="A5241" t="s">
        <v>5243</v>
      </c>
      <c r="B5241">
        <v>33.789475399999901</v>
      </c>
      <c r="C5241">
        <v>-117.8539032</v>
      </c>
      <c r="D5241" t="str">
        <f>HYPERLINK("https://streetviewpixels-pa.googleapis.com/v1/thumbnail?panoid=QO1D6rytn0cAyH5tRP0D8g&amp;cb_client=search.gws-prod.gps&amp;w=408&amp;h=240&amp;yaw=171.93547&amp;pitch=0&amp;thumbfov=100", "link")</f>
        <v>link</v>
      </c>
    </row>
    <row r="5242" spans="1:4" x14ac:dyDescent="0.45">
      <c r="A5242" t="s">
        <v>5244</v>
      </c>
      <c r="B5242">
        <v>33.7868973</v>
      </c>
      <c r="C5242">
        <v>-117.8524309</v>
      </c>
      <c r="D5242" t="str">
        <f>HYPERLINK("https://lh5.googleusercontent.com/p/AF1QipMgdjCyUxn15eYpTcZIKjitWhC5oAqW6qJwB4cC=w408-h694-k-no", "link")</f>
        <v>link</v>
      </c>
    </row>
    <row r="5243" spans="1:4" x14ac:dyDescent="0.45">
      <c r="A5243" t="s">
        <v>5245</v>
      </c>
      <c r="B5243">
        <v>33.787500000000001</v>
      </c>
      <c r="C5243">
        <v>-117.8520034</v>
      </c>
      <c r="D5243" t="s">
        <v>5</v>
      </c>
    </row>
    <row r="5244" spans="1:4" x14ac:dyDescent="0.45">
      <c r="A5244" t="s">
        <v>5246</v>
      </c>
      <c r="B5244">
        <v>33.791744600000001</v>
      </c>
      <c r="C5244">
        <v>-117.8514503</v>
      </c>
      <c r="D5244" t="s">
        <v>5</v>
      </c>
    </row>
    <row r="5245" spans="1:4" x14ac:dyDescent="0.45">
      <c r="A5245" t="s">
        <v>5247</v>
      </c>
      <c r="B5245">
        <v>33.786746000000001</v>
      </c>
      <c r="C5245">
        <v>-117.84959600000001</v>
      </c>
      <c r="D5245" t="s">
        <v>5</v>
      </c>
    </row>
    <row r="5246" spans="1:4" x14ac:dyDescent="0.45">
      <c r="A5246" t="s">
        <v>5248</v>
      </c>
      <c r="B5246">
        <v>33.792163799999997</v>
      </c>
      <c r="C5246">
        <v>-117.8501454</v>
      </c>
      <c r="D5246" t="s">
        <v>5</v>
      </c>
    </row>
    <row r="5247" spans="1:4" x14ac:dyDescent="0.45">
      <c r="A5247" t="s">
        <v>5249</v>
      </c>
      <c r="B5247">
        <v>33.794837899999997</v>
      </c>
      <c r="C5247">
        <v>-117.8515538</v>
      </c>
      <c r="D5247" t="str">
        <f>HYPERLINK("https://streetviewpixels-pa.googleapis.com/v1/thumbnail?panoid=bomFyUSB42xyOH9bHyOCPQ&amp;cb_client=search.gws-prod.gps&amp;w=408&amp;h=240&amp;yaw=148.09389&amp;pitch=0&amp;thumbfov=100", "link")</f>
        <v>link</v>
      </c>
    </row>
    <row r="5248" spans="1:4" x14ac:dyDescent="0.45">
      <c r="A5248" t="s">
        <v>5250</v>
      </c>
      <c r="B5248">
        <v>33.794880200000001</v>
      </c>
      <c r="C5248">
        <v>-117.8513684</v>
      </c>
      <c r="D5248" t="str">
        <f>HYPERLINK("https://streetviewpixels-pa.googleapis.com/v1/thumbnail?panoid=GXEW2MHYJq461YPXR43lzA&amp;cb_client=search.gws-prod.gps&amp;w=408&amp;h=240&amp;yaw=191.70815&amp;pitch=0&amp;thumbfov=100", "link")</f>
        <v>link</v>
      </c>
    </row>
    <row r="5249" spans="1:4" x14ac:dyDescent="0.45">
      <c r="A5249" t="s">
        <v>5251</v>
      </c>
      <c r="B5249">
        <v>33.793904900000001</v>
      </c>
      <c r="C5249">
        <v>-117.85009959999999</v>
      </c>
      <c r="D5249" t="s">
        <v>5</v>
      </c>
    </row>
    <row r="5250" spans="1:4" x14ac:dyDescent="0.45">
      <c r="A5250" t="s">
        <v>5252</v>
      </c>
      <c r="B5250">
        <v>33.7830887</v>
      </c>
      <c r="C5250">
        <v>-117.86582060000001</v>
      </c>
      <c r="D5250" t="str">
        <f>HYPERLINK("https://lh5.googleusercontent.com/p/AF1QipMGX9Ntc5NSI_iPL-zTIGucYp2zRnYSVuoF079V=w408-h544-k-no", "link")</f>
        <v>link</v>
      </c>
    </row>
    <row r="5251" spans="1:4" x14ac:dyDescent="0.45">
      <c r="A5251" t="s">
        <v>5253</v>
      </c>
      <c r="B5251">
        <v>33.796813700000001</v>
      </c>
      <c r="C5251">
        <v>-117.84970250000001</v>
      </c>
      <c r="D5251" t="str">
        <f>HYPERLINK("https://streetviewpixels-pa.googleapis.com/v1/thumbnail?panoid=7ViCIwVFEEIS1rnEEU9h0Q&amp;cb_client=search.gws-prod.gps&amp;w=408&amp;h=240&amp;yaw=147.88605&amp;pitch=0&amp;thumbfov=100", "link")</f>
        <v>link</v>
      </c>
    </row>
    <row r="5252" spans="1:4" x14ac:dyDescent="0.45">
      <c r="A5252" t="s">
        <v>5254</v>
      </c>
      <c r="B5252">
        <v>33.797536899999997</v>
      </c>
      <c r="C5252">
        <v>-117.8492297</v>
      </c>
      <c r="D5252" t="s">
        <v>5</v>
      </c>
    </row>
    <row r="5253" spans="1:4" x14ac:dyDescent="0.45">
      <c r="A5253" t="s">
        <v>5255</v>
      </c>
      <c r="B5253">
        <v>33.797728900000003</v>
      </c>
      <c r="C5253">
        <v>-117.85042009999999</v>
      </c>
      <c r="D5253" t="s">
        <v>5</v>
      </c>
    </row>
    <row r="5254" spans="1:4" x14ac:dyDescent="0.45">
      <c r="A5254" t="s">
        <v>5256</v>
      </c>
      <c r="B5254">
        <v>33.779954199999999</v>
      </c>
      <c r="C5254">
        <v>-117.8643679</v>
      </c>
      <c r="D5254" t="str">
        <f>HYPERLINK("https://streetviewpixels-pa.googleapis.com/v1/thumbnail?panoid=3B_89LHd8PFuo8qEaoIcHg&amp;cb_client=search.gws-prod.gps&amp;w=408&amp;h=240&amp;yaw=253.46252&amp;pitch=0&amp;thumbfov=100", "link")</f>
        <v>link</v>
      </c>
    </row>
    <row r="5255" spans="1:4" x14ac:dyDescent="0.45">
      <c r="A5255" t="s">
        <v>5257</v>
      </c>
      <c r="B5255">
        <v>33.779570200000002</v>
      </c>
      <c r="C5255">
        <v>-117.86449949999999</v>
      </c>
      <c r="D5255" t="str">
        <f>HYPERLINK("https://streetviewpixels-pa.googleapis.com/v1/thumbnail?panoid=3B_89LHd8PFuo8qEaoIcHg&amp;cb_client=search.gws-prod.gps&amp;w=408&amp;h=240&amp;yaw=253.46252&amp;pitch=0&amp;thumbfov=100", "link")</f>
        <v>link</v>
      </c>
    </row>
    <row r="5256" spans="1:4" x14ac:dyDescent="0.45">
      <c r="A5256" t="s">
        <v>5258</v>
      </c>
      <c r="B5256">
        <v>33.780927499999997</v>
      </c>
      <c r="C5256">
        <v>-117.8663968</v>
      </c>
      <c r="D5256" t="str">
        <f>HYPERLINK("https://streetviewpixels-pa.googleapis.com/v1/thumbnail?panoid=fiQCNhLq2yBMW1C-1vL_MA&amp;cb_client=search.gws-prod.gps&amp;w=408&amp;h=240&amp;yaw=85.34861&amp;pitch=0&amp;thumbfov=100", "link")</f>
        <v>link</v>
      </c>
    </row>
    <row r="5257" spans="1:4" x14ac:dyDescent="0.45">
      <c r="A5257" t="s">
        <v>5259</v>
      </c>
      <c r="B5257">
        <v>33.781633300000003</v>
      </c>
      <c r="C5257">
        <v>-117.8669027</v>
      </c>
      <c r="D5257" t="s">
        <v>5</v>
      </c>
    </row>
    <row r="5258" spans="1:4" x14ac:dyDescent="0.45">
      <c r="A5258" t="s">
        <v>5260</v>
      </c>
      <c r="B5258">
        <v>33.779209199999997</v>
      </c>
      <c r="C5258">
        <v>-117.8659196</v>
      </c>
      <c r="D5258" t="s">
        <v>5</v>
      </c>
    </row>
    <row r="5259" spans="1:4" x14ac:dyDescent="0.45">
      <c r="A5259" t="s">
        <v>5261</v>
      </c>
      <c r="B5259">
        <v>33.779714399999897</v>
      </c>
      <c r="C5259">
        <v>-117.8663505</v>
      </c>
      <c r="D5259" t="s">
        <v>5</v>
      </c>
    </row>
    <row r="5260" spans="1:4" x14ac:dyDescent="0.45">
      <c r="A5260" t="s">
        <v>5262</v>
      </c>
      <c r="B5260">
        <v>33.779821499999997</v>
      </c>
      <c r="C5260">
        <v>-117.86654660000001</v>
      </c>
      <c r="D5260" t="str">
        <f>HYPERLINK("https://lh5.googleusercontent.com/p/AF1QipPtrM1uTXSIzp7K6Vq5KLOi2WZbWh9ip4WXppkd=w408-h301-k-no", "link")</f>
        <v>link</v>
      </c>
    </row>
    <row r="5261" spans="1:4" x14ac:dyDescent="0.45">
      <c r="A5261" t="s">
        <v>5263</v>
      </c>
      <c r="B5261">
        <v>33.776464199999999</v>
      </c>
      <c r="C5261">
        <v>-117.8632558</v>
      </c>
      <c r="D5261" t="str">
        <f>HYPERLINK("https://streetviewpixels-pa.googleapis.com/v1/thumbnail?panoid=akNAM86PrAl_9R9kf0nygQ&amp;cb_client=search.gws-prod.gps&amp;w=408&amp;h=240&amp;yaw=0.7708256&amp;pitch=0&amp;thumbfov=100", "link")</f>
        <v>link</v>
      </c>
    </row>
    <row r="5262" spans="1:4" x14ac:dyDescent="0.45">
      <c r="A5262" t="s">
        <v>5264</v>
      </c>
      <c r="B5262">
        <v>33.775323499999999</v>
      </c>
      <c r="C5262">
        <v>-117.86349269999999</v>
      </c>
      <c r="D5262" t="str">
        <f>HYPERLINK("https://streetviewpixels-pa.googleapis.com/v1/thumbnail?panoid=kJsq1JRJaVyAosdoW55sfQ&amp;cb_client=search.gws-prod.gps&amp;w=408&amp;h=240&amp;yaw=271.0458&amp;pitch=0&amp;thumbfov=100", "link")</f>
        <v>link</v>
      </c>
    </row>
    <row r="5263" spans="1:4" x14ac:dyDescent="0.45">
      <c r="A5263" t="s">
        <v>5265</v>
      </c>
      <c r="B5263">
        <v>33.773301799999999</v>
      </c>
      <c r="C5263">
        <v>-117.86049300000001</v>
      </c>
      <c r="D5263" t="s">
        <v>5</v>
      </c>
    </row>
    <row r="5264" spans="1:4" x14ac:dyDescent="0.45">
      <c r="A5264" t="s">
        <v>5266</v>
      </c>
      <c r="B5264">
        <v>33.779373999999997</v>
      </c>
      <c r="C5264">
        <v>-117.8688911</v>
      </c>
      <c r="D5264" t="str">
        <f>HYPERLINK("https://streetviewpixels-pa.googleapis.com/v1/thumbnail?panoid=VHnrF2vLBzzWAD0zWXY3Sw&amp;cb_client=search.gws-prod.gps&amp;w=408&amp;h=240&amp;yaw=178.83585&amp;pitch=0&amp;thumbfov=100", "link")</f>
        <v>link</v>
      </c>
    </row>
    <row r="5265" spans="1:4" x14ac:dyDescent="0.45">
      <c r="A5265" t="s">
        <v>5267</v>
      </c>
      <c r="B5265">
        <v>33.7728927</v>
      </c>
      <c r="C5265">
        <v>-117.86317819999999</v>
      </c>
      <c r="D5265" t="s">
        <v>5</v>
      </c>
    </row>
    <row r="5266" spans="1:4" x14ac:dyDescent="0.45">
      <c r="A5266" t="s">
        <v>5268</v>
      </c>
      <c r="B5266">
        <v>33.772872200000002</v>
      </c>
      <c r="C5266">
        <v>-117.86324</v>
      </c>
      <c r="D5266" t="s">
        <v>5</v>
      </c>
    </row>
    <row r="5267" spans="1:4" x14ac:dyDescent="0.45">
      <c r="A5267" t="s">
        <v>5269</v>
      </c>
      <c r="B5267">
        <v>33.7762666</v>
      </c>
      <c r="C5267">
        <v>-117.8679557</v>
      </c>
      <c r="D5267" t="s">
        <v>5</v>
      </c>
    </row>
    <row r="5268" spans="1:4" x14ac:dyDescent="0.45">
      <c r="A5268" t="s">
        <v>5270</v>
      </c>
      <c r="B5268">
        <v>33.795853899999997</v>
      </c>
      <c r="C5268">
        <v>-117.849367</v>
      </c>
      <c r="D5268" t="s">
        <v>5</v>
      </c>
    </row>
    <row r="5269" spans="1:4" x14ac:dyDescent="0.45">
      <c r="A5269" t="s">
        <v>5271</v>
      </c>
      <c r="B5269">
        <v>33.776119600000001</v>
      </c>
      <c r="C5269">
        <v>-117.8679345</v>
      </c>
      <c r="D5269" t="s">
        <v>5</v>
      </c>
    </row>
    <row r="5270" spans="1:4" x14ac:dyDescent="0.45">
      <c r="A5270" t="s">
        <v>5272</v>
      </c>
      <c r="B5270">
        <v>33.764370300000003</v>
      </c>
      <c r="C5270">
        <v>-117.8679911</v>
      </c>
      <c r="D5270" t="str">
        <f>HYPERLINK("https://streetviewpixels-pa.googleapis.com/v1/thumbnail?panoid=7JH0ZhQUdjihdkADIkhJHw&amp;cb_client=search.gws-prod.gps&amp;w=408&amp;h=240&amp;yaw=347.4668&amp;pitch=0&amp;thumbfov=100", "link")</f>
        <v>link</v>
      </c>
    </row>
    <row r="5271" spans="1:4" x14ac:dyDescent="0.45">
      <c r="A5271" t="s">
        <v>5273</v>
      </c>
      <c r="B5271">
        <v>33.763312999999997</v>
      </c>
      <c r="C5271">
        <v>-117.86832099999999</v>
      </c>
      <c r="D5271" t="str">
        <f>HYPERLINK("https://streetviewpixels-pa.googleapis.com/v1/thumbnail?panoid=JPKr3H9VbuShGfxQXt0Glw&amp;cb_client=search.gws-prod.gps&amp;w=408&amp;h=240&amp;yaw=259.26465&amp;pitch=0&amp;thumbfov=100", "link")</f>
        <v>link</v>
      </c>
    </row>
    <row r="5272" spans="1:4" x14ac:dyDescent="0.45">
      <c r="A5272" t="s">
        <v>5274</v>
      </c>
      <c r="B5272">
        <v>33.770118500000002</v>
      </c>
      <c r="C5272">
        <v>-117.8669976</v>
      </c>
      <c r="D5272" t="str">
        <f>HYPERLINK("https://lh5.googleusercontent.com/p/AF1QipMic1jIyjHsG8mzSD4J8Ow0AjZ8w7yB4kPZ7Dd6=w426-h240-k-no", "link")</f>
        <v>link</v>
      </c>
    </row>
    <row r="5273" spans="1:4" x14ac:dyDescent="0.45">
      <c r="A5273" t="s">
        <v>5275</v>
      </c>
      <c r="B5273">
        <v>33.796935199999901</v>
      </c>
      <c r="C5273">
        <v>-117.7534635</v>
      </c>
      <c r="D5273" t="str">
        <f>HYPERLINK("https://streetviewpixels-pa.googleapis.com/v1/thumbnail?panoid=7mB2TJTIfzTohIUvJIF7sw&amp;cb_client=search.gws-prod.gps&amp;w=408&amp;h=240&amp;yaw=79.63686&amp;pitch=0&amp;thumbfov=100", "link")</f>
        <v>link</v>
      </c>
    </row>
    <row r="5274" spans="1:4" x14ac:dyDescent="0.45">
      <c r="A5274" t="s">
        <v>5276</v>
      </c>
      <c r="B5274">
        <v>33.7989009</v>
      </c>
      <c r="C5274">
        <v>-117.7563038</v>
      </c>
      <c r="D5274" t="s">
        <v>5</v>
      </c>
    </row>
    <row r="5275" spans="1:4" x14ac:dyDescent="0.45">
      <c r="A5275" t="s">
        <v>5277</v>
      </c>
      <c r="B5275">
        <v>33.798804400000002</v>
      </c>
      <c r="C5275">
        <v>-117.7586859</v>
      </c>
      <c r="D5275" t="s">
        <v>5</v>
      </c>
    </row>
    <row r="5276" spans="1:4" x14ac:dyDescent="0.45">
      <c r="A5276" t="s">
        <v>5278</v>
      </c>
      <c r="B5276">
        <v>33.783909399999999</v>
      </c>
      <c r="C5276">
        <v>-117.7621075</v>
      </c>
      <c r="D5276" t="s">
        <v>5</v>
      </c>
    </row>
    <row r="5277" spans="1:4" x14ac:dyDescent="0.45">
      <c r="A5277" t="s">
        <v>5279</v>
      </c>
      <c r="B5277">
        <v>33.795182500000003</v>
      </c>
      <c r="C5277">
        <v>-117.79835300000001</v>
      </c>
      <c r="D5277" t="s">
        <v>5</v>
      </c>
    </row>
    <row r="5278" spans="1:4" x14ac:dyDescent="0.45">
      <c r="A5278" t="s">
        <v>5280</v>
      </c>
      <c r="B5278">
        <v>33.757947100000003</v>
      </c>
      <c r="C5278">
        <v>-117.7698403</v>
      </c>
      <c r="D5278" t="s">
        <v>5</v>
      </c>
    </row>
    <row r="5279" spans="1:4" x14ac:dyDescent="0.45">
      <c r="A5279" t="s">
        <v>5281</v>
      </c>
      <c r="B5279">
        <v>33.817126600000002</v>
      </c>
      <c r="C5279">
        <v>-117.8192337</v>
      </c>
      <c r="D5279" t="s">
        <v>5</v>
      </c>
    </row>
    <row r="5280" spans="1:4" x14ac:dyDescent="0.45">
      <c r="A5280" t="s">
        <v>5282</v>
      </c>
      <c r="B5280">
        <v>33.787395699999998</v>
      </c>
      <c r="C5280">
        <v>-117.8231759</v>
      </c>
      <c r="D5280" t="str">
        <f>HYPERLINK("https://streetviewpixels-pa.googleapis.com/v1/thumbnail?panoid=un2i8yRN1KdM2iREbo54sg&amp;cb_client=search.gws-prod.gps&amp;w=408&amp;h=240&amp;yaw=186.70169&amp;pitch=0&amp;thumbfov=100", "link")</f>
        <v>link</v>
      </c>
    </row>
    <row r="5281" spans="1:4" x14ac:dyDescent="0.45">
      <c r="A5281" t="s">
        <v>5283</v>
      </c>
      <c r="B5281">
        <v>33.762886000000002</v>
      </c>
      <c r="C5281">
        <v>-117.8670953</v>
      </c>
      <c r="D5281" t="str">
        <f>HYPERLINK("https://streetviewpixels-pa.googleapis.com/v1/thumbnail?panoid=boF39U8j_fRXFa1gBsYUuA&amp;cb_client=search.gws-prod.gps&amp;w=408&amp;h=240&amp;yaw=222.90907&amp;pitch=0&amp;thumbfov=100", "link")</f>
        <v>link</v>
      </c>
    </row>
    <row r="5282" spans="1:4" x14ac:dyDescent="0.45">
      <c r="A5282" t="s">
        <v>5284</v>
      </c>
      <c r="B5282">
        <v>33.838703299999999</v>
      </c>
      <c r="C5282">
        <v>-117.83869199999999</v>
      </c>
      <c r="D5282" t="str">
        <f>HYPERLINK("https://lh5.googleusercontent.com/p/AF1QipM9F5Sca9mdiWDz3JwiB_-1FCksmFQiy6gYlMQ1=w465-h240-k-no", "link")</f>
        <v>link</v>
      </c>
    </row>
    <row r="5283" spans="1:4" x14ac:dyDescent="0.45">
      <c r="A5283" t="s">
        <v>5285</v>
      </c>
      <c r="B5283">
        <v>33.835579199999998</v>
      </c>
      <c r="C5283">
        <v>-117.83423209999999</v>
      </c>
      <c r="D5283" t="str">
        <f>HYPERLINK("https://lh5.googleusercontent.com/p/AF1QipMQBzQpCY8UJjjJqfeH-0sxLyF8mhbPgnt9rmeB=w408-h544-k-no", "link")</f>
        <v>link</v>
      </c>
    </row>
    <row r="5284" spans="1:4" x14ac:dyDescent="0.45">
      <c r="A5284" t="s">
        <v>5286</v>
      </c>
      <c r="B5284">
        <v>33.833589400000001</v>
      </c>
      <c r="C5284">
        <v>-117.8358867</v>
      </c>
      <c r="D5284" t="str">
        <f>HYPERLINK("https://streetviewpixels-pa.googleapis.com/v1/thumbnail?panoid=7vb0B2fTwr36KzEAMOfP_Q&amp;cb_client=search.gws-prod.gps&amp;w=408&amp;h=240&amp;yaw=98.1554&amp;pitch=0&amp;thumbfov=100", "link")</f>
        <v>link</v>
      </c>
    </row>
    <row r="5285" spans="1:4" x14ac:dyDescent="0.45">
      <c r="A5285" t="s">
        <v>5287</v>
      </c>
      <c r="B5285">
        <v>33.832694999999902</v>
      </c>
      <c r="C5285">
        <v>-117.83637229999999</v>
      </c>
      <c r="D5285" t="str">
        <f>HYPERLINK("https://lh5.googleusercontent.com/p/AF1QipP7rpM5t94Ohk3lWXJCAeJ28OlpQ_W74OW_z-uq=w426-h240-k-no", "link")</f>
        <v>link</v>
      </c>
    </row>
    <row r="5286" spans="1:4" x14ac:dyDescent="0.45">
      <c r="A5286" t="s">
        <v>5288</v>
      </c>
      <c r="B5286">
        <v>33.832249300000001</v>
      </c>
      <c r="C5286">
        <v>-117.83517209999999</v>
      </c>
      <c r="D5286" t="str">
        <f>HYPERLINK("https://lh5.googleusercontent.com/p/AF1QipODwchZBZ8GNMOefhsrcA0j3z0tJ2YXrk8qQnxj=w426-h240-k-no", "link")</f>
        <v>link</v>
      </c>
    </row>
    <row r="5287" spans="1:4" x14ac:dyDescent="0.45">
      <c r="A5287" t="s">
        <v>5289</v>
      </c>
      <c r="B5287">
        <v>33.829965600000001</v>
      </c>
      <c r="C5287">
        <v>-117.83947670000001</v>
      </c>
      <c r="D5287" t="s">
        <v>5</v>
      </c>
    </row>
    <row r="5288" spans="1:4" x14ac:dyDescent="0.45">
      <c r="A5288" t="s">
        <v>5290</v>
      </c>
      <c r="B5288">
        <v>33.8285263</v>
      </c>
      <c r="C5288">
        <v>-117.8407588</v>
      </c>
      <c r="D5288" t="s">
        <v>5</v>
      </c>
    </row>
    <row r="5289" spans="1:4" x14ac:dyDescent="0.45">
      <c r="A5289" t="s">
        <v>5291</v>
      </c>
      <c r="B5289">
        <v>33.854039100000001</v>
      </c>
      <c r="C5289">
        <v>-117.8402912</v>
      </c>
      <c r="D5289" t="str">
        <f>HYPERLINK("https://streetviewpixels-pa.googleapis.com/v1/thumbnail?panoid=KFzvijpLUMs7rcss-7MYTQ&amp;cb_client=search.gws-prod.gps&amp;w=408&amp;h=240&amp;yaw=134.61378&amp;pitch=0&amp;thumbfov=100", "link")</f>
        <v>link</v>
      </c>
    </row>
    <row r="5290" spans="1:4" x14ac:dyDescent="0.45">
      <c r="A5290" t="s">
        <v>5292</v>
      </c>
      <c r="B5290">
        <v>33.825279899999998</v>
      </c>
      <c r="C5290">
        <v>-117.82802890000001</v>
      </c>
      <c r="D5290" t="str">
        <f>HYPERLINK("https://streetviewpixels-pa.googleapis.com/v1/thumbnail?panoid=Vq_s6ezTG45Dpl42K03G-A&amp;cb_client=search.gws-prod.gps&amp;w=408&amp;h=240&amp;yaw=295.93332&amp;pitch=0&amp;thumbfov=100", "link")</f>
        <v>link</v>
      </c>
    </row>
    <row r="5291" spans="1:4" x14ac:dyDescent="0.45">
      <c r="A5291" t="s">
        <v>5293</v>
      </c>
      <c r="B5291">
        <v>33.851765700000001</v>
      </c>
      <c r="C5291">
        <v>-117.8679099</v>
      </c>
      <c r="D5291" t="s">
        <v>5</v>
      </c>
    </row>
    <row r="5292" spans="1:4" x14ac:dyDescent="0.45">
      <c r="A5292" t="s">
        <v>5294</v>
      </c>
      <c r="B5292">
        <v>33.858248000000003</v>
      </c>
      <c r="C5292">
        <v>-117.8902046</v>
      </c>
      <c r="D5292" t="s">
        <v>5</v>
      </c>
    </row>
    <row r="5293" spans="1:4" x14ac:dyDescent="0.45">
      <c r="A5293" t="s">
        <v>5295</v>
      </c>
      <c r="B5293">
        <v>33.871421599999998</v>
      </c>
      <c r="C5293">
        <v>-117.8708587</v>
      </c>
      <c r="D5293" t="str">
        <f>HYPERLINK("https://streetviewpixels-pa.googleapis.com/v1/thumbnail?panoid=k6C4ZJKol_8rNxadbQwESA&amp;cb_client=search.gws-prod.gps&amp;w=408&amp;h=240&amp;yaw=238.0427&amp;pitch=0&amp;thumbfov=100", "link")</f>
        <v>link</v>
      </c>
    </row>
    <row r="5294" spans="1:4" x14ac:dyDescent="0.45">
      <c r="A5294" t="s">
        <v>5296</v>
      </c>
      <c r="B5294">
        <v>33.856044699999998</v>
      </c>
      <c r="C5294">
        <v>-117.87393950000001</v>
      </c>
      <c r="D5294" t="str">
        <f>HYPERLINK("https://lh5.googleusercontent.com/p/AF1QipMxWs1EvG_8sT0tlgTEe-hNPVmBH0FI3Wn9u_Wp=w408-h544-k-no", "link")</f>
        <v>link</v>
      </c>
    </row>
    <row r="5295" spans="1:4" x14ac:dyDescent="0.45">
      <c r="A5295" t="s">
        <v>5297</v>
      </c>
      <c r="B5295">
        <v>33.852540599999998</v>
      </c>
      <c r="C5295">
        <v>-117.88954560000001</v>
      </c>
      <c r="D5295" t="str">
        <f>HYPERLINK("https://lh5.googleusercontent.com/p/AF1QipNRvL8Yx_hkbluFm8zyRu2yEnzYgP_wULIioaZI=w408-h544-k-no", "link")</f>
        <v>link</v>
      </c>
    </row>
    <row r="5296" spans="1:4" x14ac:dyDescent="0.45">
      <c r="A5296" t="s">
        <v>5298</v>
      </c>
      <c r="B5296">
        <v>33.8262675</v>
      </c>
      <c r="C5296">
        <v>-117.8579914</v>
      </c>
      <c r="D5296" t="str">
        <f>HYPERLINK("https://lh5.googleusercontent.com/p/AF1QipOelDMrLYMcVUDt7-r9MpeMjSO6-D_D0VdohpDy=w422-h240-k-no", "link")</f>
        <v>link</v>
      </c>
    </row>
    <row r="5297" spans="1:4" x14ac:dyDescent="0.45">
      <c r="A5297" t="s">
        <v>5299</v>
      </c>
      <c r="B5297">
        <v>33.844373599999997</v>
      </c>
      <c r="C5297">
        <v>-117.8886712</v>
      </c>
      <c r="D5297" t="s">
        <v>5</v>
      </c>
    </row>
    <row r="5298" spans="1:4" x14ac:dyDescent="0.45">
      <c r="A5298" t="s">
        <v>5300</v>
      </c>
      <c r="B5298">
        <v>33.677053100000002</v>
      </c>
      <c r="C5298">
        <v>-117.5173418</v>
      </c>
      <c r="D5298" t="s">
        <v>5</v>
      </c>
    </row>
    <row r="5299" spans="1:4" x14ac:dyDescent="0.45">
      <c r="A5299" t="s">
        <v>5301</v>
      </c>
      <c r="B5299">
        <v>33.4035376</v>
      </c>
      <c r="C5299">
        <v>-117.6025006</v>
      </c>
      <c r="D5299" t="s">
        <v>5</v>
      </c>
    </row>
    <row r="5300" spans="1:4" x14ac:dyDescent="0.45">
      <c r="A5300" t="s">
        <v>5302</v>
      </c>
      <c r="B5300">
        <v>33.397370799999997</v>
      </c>
      <c r="C5300">
        <v>-117.59314740000001</v>
      </c>
      <c r="D5300" t="s">
        <v>5</v>
      </c>
    </row>
    <row r="5301" spans="1:4" x14ac:dyDescent="0.45">
      <c r="A5301" t="s">
        <v>5303</v>
      </c>
      <c r="B5301">
        <v>33.397238700000003</v>
      </c>
      <c r="C5301">
        <v>-117.5931143</v>
      </c>
      <c r="D5301" t="s">
        <v>5</v>
      </c>
    </row>
    <row r="5302" spans="1:4" x14ac:dyDescent="0.45">
      <c r="A5302" t="s">
        <v>5304</v>
      </c>
      <c r="B5302">
        <v>33.444475099999998</v>
      </c>
      <c r="C5302">
        <v>-117.5846191</v>
      </c>
      <c r="D5302" t="s">
        <v>5</v>
      </c>
    </row>
    <row r="5303" spans="1:4" x14ac:dyDescent="0.45">
      <c r="A5303" t="s">
        <v>5305</v>
      </c>
      <c r="B5303">
        <v>33.445489500000001</v>
      </c>
      <c r="C5303">
        <v>-117.5839313</v>
      </c>
      <c r="D5303" t="s">
        <v>5</v>
      </c>
    </row>
    <row r="5304" spans="1:4" x14ac:dyDescent="0.45">
      <c r="A5304" t="s">
        <v>5306</v>
      </c>
      <c r="B5304">
        <v>33.386985799999998</v>
      </c>
      <c r="C5304">
        <v>-117.5818908</v>
      </c>
      <c r="D5304" t="s">
        <v>5</v>
      </c>
    </row>
    <row r="5305" spans="1:4" x14ac:dyDescent="0.45">
      <c r="A5305" t="s">
        <v>5307</v>
      </c>
      <c r="B5305">
        <v>33.379925399999998</v>
      </c>
      <c r="C5305">
        <v>-117.5718626</v>
      </c>
      <c r="D5305" t="str">
        <f>HYPERLINK("https://lh5.googleusercontent.com/p/AF1QipMaN9mE4J47WEzIcopFtClf29C7Kzj1-_vUNSE=w408-h306-k-no", "link")</f>
        <v>link</v>
      </c>
    </row>
    <row r="5306" spans="1:4" x14ac:dyDescent="0.45">
      <c r="A5306" t="s">
        <v>5308</v>
      </c>
      <c r="B5306">
        <v>33.374001399999997</v>
      </c>
      <c r="C5306">
        <v>-117.56407609999999</v>
      </c>
      <c r="D5306" t="s">
        <v>5</v>
      </c>
    </row>
    <row r="5307" spans="1:4" x14ac:dyDescent="0.45">
      <c r="A5307" t="s">
        <v>5309</v>
      </c>
      <c r="B5307">
        <v>33.405332999999999</v>
      </c>
      <c r="C5307">
        <v>-117.6058017</v>
      </c>
      <c r="D5307" t="s">
        <v>5</v>
      </c>
    </row>
    <row r="5308" spans="1:4" x14ac:dyDescent="0.45">
      <c r="A5308" t="s">
        <v>5310</v>
      </c>
      <c r="B5308">
        <v>33.410652999999897</v>
      </c>
      <c r="C5308">
        <v>-117.5984248</v>
      </c>
      <c r="D5308" t="s">
        <v>5</v>
      </c>
    </row>
    <row r="5309" spans="1:4" x14ac:dyDescent="0.45">
      <c r="A5309" t="s">
        <v>5311</v>
      </c>
      <c r="B5309">
        <v>33.372847499999999</v>
      </c>
      <c r="C5309">
        <v>-117.5628047</v>
      </c>
      <c r="D5309" t="str">
        <f>HYPERLINK("https://lh5.googleusercontent.com/p/AF1QipNqLH9qavkD6H1KXAfZ8Xq_kHCQT2lUbRCe-qAA=w493-h240-k-no", "link")</f>
        <v>link</v>
      </c>
    </row>
    <row r="5310" spans="1:4" x14ac:dyDescent="0.45">
      <c r="A5310" t="s">
        <v>5312</v>
      </c>
      <c r="B5310">
        <v>33.745467300000001</v>
      </c>
      <c r="C5310">
        <v>-117.86893619999999</v>
      </c>
      <c r="D5310" t="str">
        <f>HYPERLINK("https://streetviewpixels-pa.googleapis.com/v1/thumbnail?panoid=UQ3-C14ixgiifY2oz7uOUQ&amp;cb_client=search.gws-prod.gps&amp;w=408&amp;h=240&amp;yaw=171.441&amp;pitch=0&amp;thumbfov=100", "link")</f>
        <v>link</v>
      </c>
    </row>
    <row r="5311" spans="1:4" x14ac:dyDescent="0.45">
      <c r="A5311" t="s">
        <v>5313</v>
      </c>
      <c r="B5311">
        <v>33.747267299999997</v>
      </c>
      <c r="C5311">
        <v>-117.8669063</v>
      </c>
      <c r="D5311" t="str">
        <f>HYPERLINK("https://streetviewpixels-pa.googleapis.com/v1/thumbnail?panoid=Ri4BQrX3jkGOxNt3eoyzwA&amp;cb_client=search.gws-prod.gps&amp;w=408&amp;h=240&amp;yaw=4.6094394&amp;pitch=0&amp;thumbfov=100", "link")</f>
        <v>link</v>
      </c>
    </row>
    <row r="5312" spans="1:4" x14ac:dyDescent="0.45">
      <c r="A5312" t="s">
        <v>5314</v>
      </c>
      <c r="B5312">
        <v>33.746785299999999</v>
      </c>
      <c r="C5312">
        <v>-117.8668806</v>
      </c>
      <c r="D5312" t="s">
        <v>5</v>
      </c>
    </row>
    <row r="5313" spans="1:4" x14ac:dyDescent="0.45">
      <c r="A5313" t="s">
        <v>5315</v>
      </c>
      <c r="B5313">
        <v>33.749257900000003</v>
      </c>
      <c r="C5313">
        <v>-117.8714111</v>
      </c>
      <c r="D5313" t="str">
        <f>HYPERLINK("https://streetviewpixels-pa.googleapis.com/v1/thumbnail?panoid=vzRnJi3A07JVVVfrpJw09g&amp;cb_client=search.gws-prod.gps&amp;w=408&amp;h=240&amp;yaw=157.2511&amp;pitch=0&amp;thumbfov=100", "link")</f>
        <v>link</v>
      </c>
    </row>
    <row r="5314" spans="1:4" x14ac:dyDescent="0.45">
      <c r="A5314" t="s">
        <v>5316</v>
      </c>
      <c r="B5314">
        <v>33.746860900000001</v>
      </c>
      <c r="C5314">
        <v>-117.8667653</v>
      </c>
      <c r="D5314" t="s">
        <v>5</v>
      </c>
    </row>
    <row r="5315" spans="1:4" x14ac:dyDescent="0.45">
      <c r="A5315" t="s">
        <v>5317</v>
      </c>
      <c r="B5315">
        <v>33.745879700000003</v>
      </c>
      <c r="C5315">
        <v>-117.8673012</v>
      </c>
      <c r="D5315" t="str">
        <f>HYPERLINK("https://streetviewpixels-pa.googleapis.com/v1/thumbnail?panoid=1s_Z6yix5-8Oa9QW2SCPCg&amp;cb_client=search.gws-prod.gps&amp;w=408&amp;h=240&amp;yaw=92.18647&amp;pitch=0&amp;thumbfov=100", "link")</f>
        <v>link</v>
      </c>
    </row>
    <row r="5316" spans="1:4" x14ac:dyDescent="0.45">
      <c r="A5316" t="s">
        <v>5318</v>
      </c>
      <c r="B5316">
        <v>33.747377100000001</v>
      </c>
      <c r="C5316">
        <v>-117.8728244</v>
      </c>
      <c r="D5316" t="str">
        <f>HYPERLINK("https://streetviewpixels-pa.googleapis.com/v1/thumbnail?panoid=TscMLpDk6GThUSxh5v7UMQ&amp;cb_client=search.gws-prod.gps&amp;w=408&amp;h=240&amp;yaw=350.63855&amp;pitch=0&amp;thumbfov=100", "link")</f>
        <v>link</v>
      </c>
    </row>
    <row r="5317" spans="1:4" x14ac:dyDescent="0.45">
      <c r="A5317" t="s">
        <v>5319</v>
      </c>
      <c r="B5317">
        <v>33.7495148</v>
      </c>
      <c r="C5317">
        <v>-117.8672689</v>
      </c>
      <c r="D5317" t="str">
        <f>HYPERLINK("https://streetviewpixels-pa.googleapis.com/v1/thumbnail?panoid=B2tSpJ9BTg-x1nM9Hw1gAw&amp;cb_client=search.gws-prod.gps&amp;w=408&amp;h=240&amp;yaw=214.45999&amp;pitch=0&amp;thumbfov=100", "link")</f>
        <v>link</v>
      </c>
    </row>
    <row r="5318" spans="1:4" x14ac:dyDescent="0.45">
      <c r="A5318" t="s">
        <v>5320</v>
      </c>
      <c r="B5318">
        <v>33.749166600000002</v>
      </c>
      <c r="C5318">
        <v>-117.8668861</v>
      </c>
      <c r="D5318" t="str">
        <f>HYPERLINK("https://streetviewpixels-pa.googleapis.com/v1/thumbnail?panoid=AkgC0WkQcsqypZmBSFXP8g&amp;cb_client=search.gws-prod.gps&amp;w=408&amp;h=240&amp;yaw=281.7166&amp;pitch=0&amp;thumbfov=100", "link")</f>
        <v>link</v>
      </c>
    </row>
    <row r="5319" spans="1:4" x14ac:dyDescent="0.45">
      <c r="A5319" t="s">
        <v>5321</v>
      </c>
      <c r="B5319">
        <v>33.747366300000003</v>
      </c>
      <c r="C5319">
        <v>-117.8660663</v>
      </c>
      <c r="D5319" t="s">
        <v>5</v>
      </c>
    </row>
    <row r="5320" spans="1:4" x14ac:dyDescent="0.45">
      <c r="A5320" t="s">
        <v>5322</v>
      </c>
      <c r="B5320">
        <v>33.749941399999997</v>
      </c>
      <c r="C5320">
        <v>-117.8716182</v>
      </c>
      <c r="D5320" t="s">
        <v>5</v>
      </c>
    </row>
    <row r="5321" spans="1:4" x14ac:dyDescent="0.45">
      <c r="A5321" t="s">
        <v>5323</v>
      </c>
      <c r="B5321">
        <v>33.750579899999998</v>
      </c>
      <c r="C5321">
        <v>-117.8692497</v>
      </c>
      <c r="D5321" t="str">
        <f>HYPERLINK("https://streetviewpixels-pa.googleapis.com/v1/thumbnail?panoid=ALeH_atqxnotScdo83pDyQ&amp;cb_client=search.gws-prod.gps&amp;w=408&amp;h=240&amp;yaw=237.81041&amp;pitch=0&amp;thumbfov=100", "link")</f>
        <v>link</v>
      </c>
    </row>
    <row r="5322" spans="1:4" x14ac:dyDescent="0.45">
      <c r="A5322" t="s">
        <v>5324</v>
      </c>
      <c r="B5322">
        <v>33.7495002</v>
      </c>
      <c r="C5322">
        <v>-117.8664052</v>
      </c>
      <c r="D5322" t="str">
        <f>HYPERLINK("https://lh5.googleusercontent.com/p/AF1QipNCt-4uERU9YTYQZRJlc6AgbXrwZglb_ZqDM9iy=w408-h271-k-no", "link")</f>
        <v>link</v>
      </c>
    </row>
    <row r="5323" spans="1:4" x14ac:dyDescent="0.45">
      <c r="A5323" t="s">
        <v>5325</v>
      </c>
      <c r="B5323">
        <v>33.744715900000003</v>
      </c>
      <c r="C5323">
        <v>-117.867278</v>
      </c>
      <c r="D5323" t="str">
        <f>HYPERLINK("https://streetviewpixels-pa.googleapis.com/v1/thumbnail?panoid=k3dZvZPSX3jgthzSfSOeHw&amp;cb_client=search.gws-prod.gps&amp;w=408&amp;h=240&amp;yaw=87.41826&amp;pitch=0&amp;thumbfov=100", "link")</f>
        <v>link</v>
      </c>
    </row>
    <row r="5324" spans="1:4" x14ac:dyDescent="0.45">
      <c r="A5324" t="s">
        <v>5326</v>
      </c>
      <c r="B5324">
        <v>33.747290999999997</v>
      </c>
      <c r="C5324">
        <v>-117.8653394</v>
      </c>
      <c r="D5324" t="str">
        <f>HYPERLINK("https://streetviewpixels-pa.googleapis.com/v1/thumbnail?panoid=qLxnhZPof2n-XKtFG4USvw&amp;cb_client=search.gws-prod.gps&amp;w=408&amp;h=240&amp;yaw=350.8523&amp;pitch=0&amp;thumbfov=100", "link")</f>
        <v>link</v>
      </c>
    </row>
    <row r="5325" spans="1:4" x14ac:dyDescent="0.45">
      <c r="A5325" t="s">
        <v>5327</v>
      </c>
      <c r="B5325">
        <v>33.750864900000003</v>
      </c>
      <c r="C5325">
        <v>-117.86837869999999</v>
      </c>
      <c r="D5325" t="str">
        <f>HYPERLINK("https://streetviewpixels-pa.googleapis.com/v1/thumbnail?panoid=YUn0C2yu_2Fd-61dNB0E1A&amp;cb_client=search.gws-prod.gps&amp;w=408&amp;h=240&amp;yaw=253.02547&amp;pitch=0&amp;thumbfov=100", "link")</f>
        <v>link</v>
      </c>
    </row>
    <row r="5326" spans="1:4" x14ac:dyDescent="0.45">
      <c r="A5326" t="s">
        <v>5328</v>
      </c>
      <c r="B5326">
        <v>33.7487548</v>
      </c>
      <c r="C5326">
        <v>-117.8655953</v>
      </c>
      <c r="D5326" t="s">
        <v>5</v>
      </c>
    </row>
    <row r="5327" spans="1:4" x14ac:dyDescent="0.45">
      <c r="A5327" t="s">
        <v>5329</v>
      </c>
      <c r="B5327">
        <v>33.7490363</v>
      </c>
      <c r="C5327">
        <v>-117.8735999</v>
      </c>
      <c r="D5327" t="s">
        <v>5</v>
      </c>
    </row>
    <row r="5328" spans="1:4" x14ac:dyDescent="0.45">
      <c r="A5328" t="s">
        <v>5330</v>
      </c>
      <c r="B5328">
        <v>33.743803</v>
      </c>
      <c r="C5328">
        <v>-117.868387</v>
      </c>
      <c r="D5328" t="str">
        <f>HYPERLINK("https://streetviewpixels-pa.googleapis.com/v1/thumbnail?panoid=HeBcF5eFgRvi4eA0bS87Pg&amp;cb_client=search.gws-prod.gps&amp;w=408&amp;h=240&amp;yaw=84.562485&amp;pitch=0&amp;thumbfov=100", "link")</f>
        <v>link</v>
      </c>
    </row>
    <row r="5329" spans="1:4" x14ac:dyDescent="0.45">
      <c r="A5329" t="s">
        <v>5331</v>
      </c>
      <c r="B5329">
        <v>33.750190000000003</v>
      </c>
      <c r="C5329">
        <v>-117.86588</v>
      </c>
      <c r="D5329" t="str">
        <f>HYPERLINK("https://streetviewpixels-pa.googleapis.com/v1/thumbnail?panoid=LSO91yN93UvjlnIL-XGf5A&amp;cb_client=search.gws-prod.gps&amp;w=408&amp;h=240&amp;yaw=289.647&amp;pitch=0&amp;thumbfov=100", "link")</f>
        <v>link</v>
      </c>
    </row>
    <row r="5330" spans="1:4" x14ac:dyDescent="0.45">
      <c r="A5330" t="s">
        <v>5332</v>
      </c>
      <c r="B5330">
        <v>33.747453899999996</v>
      </c>
      <c r="C5330">
        <v>-117.8695752</v>
      </c>
      <c r="D5330" t="str">
        <f>HYPERLINK("https://lh5.googleusercontent.com/p/AF1QipPV0-fUonon7H50BdvYMPT3oLqrjEJz8-2aaYkG=w408-h725-k-no", "link")</f>
        <v>link</v>
      </c>
    </row>
    <row r="5331" spans="1:4" x14ac:dyDescent="0.45">
      <c r="A5331" t="s">
        <v>5333</v>
      </c>
      <c r="B5331">
        <v>33.747447200000003</v>
      </c>
      <c r="C5331">
        <v>-117.8696621</v>
      </c>
      <c r="D5331" t="str">
        <f>HYPERLINK("https://streetviewpixels-pa.googleapis.com/v1/thumbnail?panoid=Kwg1LhltHwPXsZ1ckB9gew&amp;cb_client=search.gws-prod.gps&amp;w=408&amp;h=240&amp;yaw=324.62177&amp;pitch=0&amp;thumbfov=100", "link")</f>
        <v>link</v>
      </c>
    </row>
    <row r="5332" spans="1:4" x14ac:dyDescent="0.45">
      <c r="A5332" t="s">
        <v>5334</v>
      </c>
      <c r="B5332">
        <v>33.747403499999997</v>
      </c>
      <c r="C5332">
        <v>-117.8688276</v>
      </c>
      <c r="D5332" t="str">
        <f>HYPERLINK("https://streetviewpixels-pa.googleapis.com/v1/thumbnail?panoid=tqg2y0Mty8-OMG-lGb7OXA&amp;cb_client=search.gws-prod.gps&amp;w=408&amp;h=240&amp;yaw=335.45328&amp;pitch=0&amp;thumbfov=100", "link")</f>
        <v>link</v>
      </c>
    </row>
    <row r="5333" spans="1:4" x14ac:dyDescent="0.45">
      <c r="A5333" t="s">
        <v>5335</v>
      </c>
      <c r="B5333">
        <v>33.746898999999999</v>
      </c>
      <c r="C5333">
        <v>-117.86896419999999</v>
      </c>
      <c r="D5333" t="str">
        <f>HYPERLINK("https://streetviewpixels-pa.googleapis.com/v1/thumbnail?panoid=fSD2cDY-StkeqpvXdJz_zQ&amp;cb_client=search.gws-prod.gps&amp;w=408&amp;h=240&amp;yaw=112.65775&amp;pitch=0&amp;thumbfov=100", "link")</f>
        <v>link</v>
      </c>
    </row>
    <row r="5334" spans="1:4" x14ac:dyDescent="0.45">
      <c r="A5334" t="s">
        <v>5336</v>
      </c>
      <c r="B5334">
        <v>33.748506499999998</v>
      </c>
      <c r="C5334">
        <v>-117.8701787</v>
      </c>
      <c r="D5334" t="str">
        <f>HYPERLINK("https://streetviewpixels-pa.googleapis.com/v1/thumbnail?panoid=Pc-FLC28i0aL4H3C3MDeLQ&amp;cb_client=search.gws-prod.gps&amp;w=408&amp;h=240&amp;yaw=190.97731&amp;pitch=0&amp;thumbfov=100", "link")</f>
        <v>link</v>
      </c>
    </row>
    <row r="5335" spans="1:4" x14ac:dyDescent="0.45">
      <c r="A5335" t="s">
        <v>5337</v>
      </c>
      <c r="B5335">
        <v>33.747433599999901</v>
      </c>
      <c r="C5335">
        <v>-117.8710334</v>
      </c>
      <c r="D5335" t="str">
        <f>HYPERLINK("https://streetviewpixels-pa.googleapis.com/v1/thumbnail?panoid=xAmciYzw7htZK_mw5D7sMQ&amp;cb_client=search.gws-prod.gps&amp;w=408&amp;h=240&amp;yaw=260.55203&amp;pitch=0&amp;thumbfov=100", "link")</f>
        <v>link</v>
      </c>
    </row>
    <row r="5336" spans="1:4" x14ac:dyDescent="0.45">
      <c r="A5336" t="s">
        <v>5338</v>
      </c>
      <c r="B5336">
        <v>33.747477199999999</v>
      </c>
      <c r="C5336">
        <v>-117.8711205</v>
      </c>
      <c r="D5336" t="str">
        <f>HYPERLINK("https://streetviewpixels-pa.googleapis.com/v1/thumbnail?panoid=xAmciYzw7htZK_mw5D7sMQ&amp;cb_client=search.gws-prod.gps&amp;w=408&amp;h=240&amp;yaw=260.55203&amp;pitch=0&amp;thumbfov=100", "link")</f>
        <v>link</v>
      </c>
    </row>
    <row r="5337" spans="1:4" x14ac:dyDescent="0.45">
      <c r="A5337" t="s">
        <v>5339</v>
      </c>
      <c r="B5337">
        <v>33.748657700000003</v>
      </c>
      <c r="C5337">
        <v>-117.86894460000001</v>
      </c>
      <c r="D5337" t="str">
        <f>HYPERLINK("https://streetviewpixels-pa.googleapis.com/v1/thumbnail?panoid=IGUh6d3LCrAM1x5-EIA_4w&amp;cb_client=search.gws-prod.gps&amp;w=408&amp;h=240&amp;yaw=160.42792&amp;pitch=0&amp;thumbfov=100", "link")</f>
        <v>link</v>
      </c>
    </row>
    <row r="5338" spans="1:4" x14ac:dyDescent="0.45">
      <c r="A5338" t="s">
        <v>5340</v>
      </c>
      <c r="B5338">
        <v>33.748889400000003</v>
      </c>
      <c r="C5338">
        <v>-117.8697208</v>
      </c>
      <c r="D5338" t="str">
        <f>HYPERLINK("https://streetviewpixels-pa.googleapis.com/v1/thumbnail?panoid=xjHtWocqBbE0UhF__pwNxg&amp;cb_client=search.gws-prod.gps&amp;w=408&amp;h=240&amp;yaw=269.89566&amp;pitch=0&amp;thumbfov=100", "link")</f>
        <v>link</v>
      </c>
    </row>
    <row r="5339" spans="1:4" x14ac:dyDescent="0.45">
      <c r="A5339" t="s">
        <v>5341</v>
      </c>
      <c r="B5339">
        <v>33.747352399999897</v>
      </c>
      <c r="C5339">
        <v>-117.87134349999999</v>
      </c>
      <c r="D5339" t="str">
        <f>HYPERLINK("https://streetviewpixels-pa.googleapis.com/v1/thumbnail?panoid=xAmciYzw7htZK_mw5D7sMQ&amp;cb_client=search.gws-prod.gps&amp;w=408&amp;h=240&amp;yaw=260.55203&amp;pitch=0&amp;thumbfov=100", "link")</f>
        <v>link</v>
      </c>
    </row>
    <row r="5340" spans="1:4" x14ac:dyDescent="0.45">
      <c r="A5340" t="s">
        <v>5342</v>
      </c>
      <c r="B5340">
        <v>33.747216700000003</v>
      </c>
      <c r="C5340">
        <v>-117.87135309999999</v>
      </c>
      <c r="D5340" t="str">
        <f>HYPERLINK("https://streetviewpixels-pa.googleapis.com/v1/thumbnail?panoid=xAmciYzw7htZK_mw5D7sMQ&amp;cb_client=search.gws-prod.gps&amp;w=408&amp;h=240&amp;yaw=260.55203&amp;pitch=0&amp;thumbfov=100", "link")</f>
        <v>link</v>
      </c>
    </row>
    <row r="5341" spans="1:4" x14ac:dyDescent="0.45">
      <c r="A5341" t="s">
        <v>5343</v>
      </c>
      <c r="B5341">
        <v>33.746879999999997</v>
      </c>
      <c r="C5341">
        <v>-117.867842</v>
      </c>
      <c r="D5341" t="str">
        <f>HYPERLINK("https://streetviewpixels-pa.googleapis.com/v1/thumbnail?panoid=FCOfsbz7Q1oEoQ7306xmgA&amp;cb_client=search.gws-prod.gps&amp;w=408&amp;h=240&amp;yaw=157.539&amp;pitch=0&amp;thumbfov=100", "link")</f>
        <v>link</v>
      </c>
    </row>
    <row r="5342" spans="1:4" x14ac:dyDescent="0.45">
      <c r="A5342" t="s">
        <v>5344</v>
      </c>
      <c r="B5342">
        <v>33.7460144</v>
      </c>
      <c r="C5342">
        <v>-117.87031349999999</v>
      </c>
      <c r="D5342" t="s">
        <v>5</v>
      </c>
    </row>
    <row r="5343" spans="1:4" x14ac:dyDescent="0.45">
      <c r="A5343" t="s">
        <v>5345</v>
      </c>
      <c r="B5343">
        <v>33.7486405</v>
      </c>
      <c r="C5343">
        <v>-117.86804720000001</v>
      </c>
      <c r="D5343" t="str">
        <f>HYPERLINK("https://streetviewpixels-pa.googleapis.com/v1/thumbnail?panoid=rRhssSyB2FECQM0_XSGNZQ&amp;cb_client=search.gws-prod.gps&amp;w=408&amp;h=240&amp;yaw=196.63826&amp;pitch=0&amp;thumbfov=100", "link")</f>
        <v>link</v>
      </c>
    </row>
    <row r="5344" spans="1:4" x14ac:dyDescent="0.45">
      <c r="A5344" t="s">
        <v>5346</v>
      </c>
      <c r="B5344">
        <v>33.749221799999901</v>
      </c>
      <c r="C5344">
        <v>-117.8689629</v>
      </c>
      <c r="D5344" t="str">
        <f>HYPERLINK("https://streetviewpixels-pa.googleapis.com/v1/thumbnail?panoid=vTRDS0L0KnQeHAKOxRIKyg&amp;cb_client=search.gws-prod.gps&amp;w=408&amp;h=240&amp;yaw=255.17413&amp;pitch=0&amp;thumbfov=100", "link")</f>
        <v>link</v>
      </c>
    </row>
    <row r="5345" spans="1:4" x14ac:dyDescent="0.45">
      <c r="A5345" t="s">
        <v>5347</v>
      </c>
      <c r="B5345">
        <v>33.749299000000001</v>
      </c>
      <c r="C5345">
        <v>-117.8688186</v>
      </c>
      <c r="D5345" t="str">
        <f>HYPERLINK("https://streetviewpixels-pa.googleapis.com/v1/thumbnail?panoid=vTRDS0L0KnQeHAKOxRIKyg&amp;cb_client=search.gws-prod.gps&amp;w=408&amp;h=240&amp;yaw=255.17413&amp;pitch=0&amp;thumbfov=100", "link")</f>
        <v>link</v>
      </c>
    </row>
    <row r="5346" spans="1:4" x14ac:dyDescent="0.45">
      <c r="A5346" t="s">
        <v>5348</v>
      </c>
      <c r="B5346">
        <v>33.748774500000003</v>
      </c>
      <c r="C5346">
        <v>-117.8677781</v>
      </c>
      <c r="D5346" t="str">
        <f>HYPERLINK("https://streetviewpixels-pa.googleapis.com/v1/thumbnail?panoid=rRhssSyB2FECQM0_XSGNZQ&amp;cb_client=search.gws-prod.gps&amp;w=408&amp;h=240&amp;yaw=196.63826&amp;pitch=0&amp;thumbfov=100", "link")</f>
        <v>link</v>
      </c>
    </row>
    <row r="5347" spans="1:4" x14ac:dyDescent="0.45">
      <c r="A5347" t="s">
        <v>5349</v>
      </c>
      <c r="B5347">
        <v>33.747368700000003</v>
      </c>
      <c r="C5347">
        <v>-117.8719997</v>
      </c>
      <c r="D5347" t="str">
        <f>HYPERLINK("https://streetviewpixels-pa.googleapis.com/v1/thumbnail?panoid=Z7kuR4AkGvgNrGe_WUIlqQ&amp;cb_client=search.gws-prod.gps&amp;w=408&amp;h=240&amp;yaw=126.28505&amp;pitch=0&amp;thumbfov=100", "link")</f>
        <v>link</v>
      </c>
    </row>
    <row r="5348" spans="1:4" x14ac:dyDescent="0.45">
      <c r="A5348" t="s">
        <v>5350</v>
      </c>
      <c r="B5348">
        <v>33.749003399999999</v>
      </c>
      <c r="C5348">
        <v>-117.8711552</v>
      </c>
      <c r="D5348" t="str">
        <f>HYPERLINK("https://streetviewpixels-pa.googleapis.com/v1/thumbnail?panoid=Y94D5rfEK2C7QDX7xBlGfQ&amp;cb_client=search.gws-prod.gps&amp;w=408&amp;h=240&amp;yaw=172.97807&amp;pitch=0&amp;thumbfov=100", "link")</f>
        <v>link</v>
      </c>
    </row>
    <row r="5349" spans="1:4" x14ac:dyDescent="0.45">
      <c r="A5349" t="s">
        <v>5351</v>
      </c>
      <c r="B5349">
        <v>33.7456757</v>
      </c>
      <c r="C5349">
        <v>-117.88238250000001</v>
      </c>
      <c r="D5349" t="str">
        <f>HYPERLINK("https://streetviewpixels-pa.googleapis.com/v1/thumbnail?panoid=uZBJFH1TL2W78sxaUEHUfQ&amp;cb_client=search.gws-prod.gps&amp;w=408&amp;h=240&amp;yaw=9.258711&amp;pitch=0&amp;thumbfov=100", "link")</f>
        <v>link</v>
      </c>
    </row>
    <row r="5350" spans="1:4" x14ac:dyDescent="0.45">
      <c r="A5350" t="s">
        <v>5352</v>
      </c>
      <c r="B5350">
        <v>33.7515334</v>
      </c>
      <c r="C5350">
        <v>-117.8731561</v>
      </c>
      <c r="D5350" t="str">
        <f>HYPERLINK("https://streetviewpixels-pa.googleapis.com/v1/thumbnail?panoid=UCF7OzQ_egdq2oIoi-152Q&amp;cb_client=search.gws-prod.gps&amp;w=408&amp;h=240&amp;yaw=90.13636&amp;pitch=0&amp;thumbfov=100", "link")</f>
        <v>link</v>
      </c>
    </row>
    <row r="5351" spans="1:4" x14ac:dyDescent="0.45">
      <c r="A5351" t="s">
        <v>5353</v>
      </c>
      <c r="B5351">
        <v>33.752599699999998</v>
      </c>
      <c r="C5351">
        <v>-117.87435259999999</v>
      </c>
      <c r="D5351" t="str">
        <f>HYPERLINK("https://streetviewpixels-pa.googleapis.com/v1/thumbnail?panoid=FvtXwmqXwDP-LRZ4G8QbAA&amp;cb_client=search.gws-prod.gps&amp;w=408&amp;h=240&amp;yaw=144.47122&amp;pitch=0&amp;thumbfov=100", "link")</f>
        <v>link</v>
      </c>
    </row>
    <row r="5352" spans="1:4" x14ac:dyDescent="0.45">
      <c r="A5352" t="s">
        <v>5354</v>
      </c>
      <c r="B5352">
        <v>33.752869400000002</v>
      </c>
      <c r="C5352">
        <v>-117.8747503</v>
      </c>
      <c r="D5352" t="str">
        <f>HYPERLINK("https://streetviewpixels-pa.googleapis.com/v1/thumbnail?panoid=0QFKuht7TAEjYGII-WlXbg&amp;cb_client=search.gws-prod.gps&amp;w=408&amp;h=240&amp;yaw=215.80495&amp;pitch=0&amp;thumbfov=100", "link")</f>
        <v>link</v>
      </c>
    </row>
    <row r="5353" spans="1:4" x14ac:dyDescent="0.45">
      <c r="A5353" t="s">
        <v>5355</v>
      </c>
      <c r="B5353">
        <v>33.748660800000003</v>
      </c>
      <c r="C5353">
        <v>-117.884372</v>
      </c>
      <c r="D5353" t="str">
        <f>HYPERLINK("https://streetviewpixels-pa.googleapis.com/v1/thumbnail?panoid=b3-HqAktvQAZ5crstP4B-g&amp;cb_client=search.gws-prod.gps&amp;w=408&amp;h=240&amp;yaw=171.54732&amp;pitch=0&amp;thumbfov=100", "link")</f>
        <v>link</v>
      </c>
    </row>
    <row r="5354" spans="1:4" x14ac:dyDescent="0.45">
      <c r="A5354" t="s">
        <v>5356</v>
      </c>
      <c r="B5354">
        <v>33.752111399999997</v>
      </c>
      <c r="C5354">
        <v>-117.87312420000001</v>
      </c>
      <c r="D5354" t="str">
        <f>HYPERLINK("https://streetviewpixels-pa.googleapis.com/v1/thumbnail?panoid=BSTcCcgdOoeG39TjOpNgoA&amp;cb_client=search.gws-prod.gps&amp;w=408&amp;h=240&amp;yaw=304.51346&amp;pitch=0&amp;thumbfov=100", "link")</f>
        <v>link</v>
      </c>
    </row>
    <row r="5355" spans="1:4" x14ac:dyDescent="0.45">
      <c r="A5355" t="s">
        <v>5357</v>
      </c>
      <c r="B5355">
        <v>33.7530809</v>
      </c>
      <c r="C5355">
        <v>-117.8743485</v>
      </c>
      <c r="D5355" t="str">
        <f>HYPERLINK("https://streetviewpixels-pa.googleapis.com/v1/thumbnail?panoid=b5saL8Zy1PSGkXc7DRAS1w&amp;cb_client=search.gws-prod.gps&amp;w=408&amp;h=240&amp;yaw=85.30827&amp;pitch=0&amp;thumbfov=100", "link")</f>
        <v>link</v>
      </c>
    </row>
    <row r="5356" spans="1:4" x14ac:dyDescent="0.45">
      <c r="A5356" t="s">
        <v>5358</v>
      </c>
      <c r="B5356">
        <v>33.753286699999997</v>
      </c>
      <c r="C5356">
        <v>-117.87367930000001</v>
      </c>
      <c r="D5356" t="str">
        <f>HYPERLINK("https://streetviewpixels-pa.googleapis.com/v1/thumbnail?panoid=hB0Y8GpN2R_3fio8-UbOtA&amp;cb_client=search.gws-prod.gps&amp;w=408&amp;h=240&amp;yaw=235.4457&amp;pitch=0&amp;thumbfov=100", "link")</f>
        <v>link</v>
      </c>
    </row>
    <row r="5357" spans="1:4" x14ac:dyDescent="0.45">
      <c r="A5357" t="s">
        <v>5359</v>
      </c>
      <c r="B5357">
        <v>33.752351599999997</v>
      </c>
      <c r="C5357">
        <v>-117.8722159</v>
      </c>
      <c r="D5357" t="str">
        <f>HYPERLINK("https://streetviewpixels-pa.googleapis.com/v1/thumbnail?panoid=7-80RZQshEaGtYRXhMSoCQ&amp;cb_client=search.gws-prod.gps&amp;w=408&amp;h=240&amp;yaw=60.556923&amp;pitch=0&amp;thumbfov=100", "link")</f>
        <v>link</v>
      </c>
    </row>
    <row r="5358" spans="1:4" x14ac:dyDescent="0.45">
      <c r="A5358" t="s">
        <v>5360</v>
      </c>
      <c r="B5358">
        <v>33.7526042</v>
      </c>
      <c r="C5358">
        <v>-117.8722901</v>
      </c>
      <c r="D5358" t="str">
        <f>HYPERLINK("https://streetviewpixels-pa.googleapis.com/v1/thumbnail?panoid=LjzcNHCvbIAaTaNhmHzzbg&amp;cb_client=search.gws-prod.gps&amp;w=408&amp;h=240&amp;yaw=37.28339&amp;pitch=0&amp;thumbfov=100", "link")</f>
        <v>link</v>
      </c>
    </row>
    <row r="5359" spans="1:4" x14ac:dyDescent="0.45">
      <c r="A5359" t="s">
        <v>5361</v>
      </c>
      <c r="B5359">
        <v>33.753288900000001</v>
      </c>
      <c r="C5359">
        <v>-117.8727947</v>
      </c>
      <c r="D5359" t="str">
        <f>HYPERLINK("https://streetviewpixels-pa.googleapis.com/v1/thumbnail?panoid=BFd3SF-J8r3d7qCeJ4IbhA&amp;cb_client=search.gws-prod.gps&amp;w=408&amp;h=240&amp;yaw=293.13828&amp;pitch=0&amp;thumbfov=100", "link")</f>
        <v>link</v>
      </c>
    </row>
    <row r="5360" spans="1:4" x14ac:dyDescent="0.45">
      <c r="A5360" t="s">
        <v>5362</v>
      </c>
      <c r="B5360">
        <v>33.7475114</v>
      </c>
      <c r="C5360">
        <v>-117.8781348</v>
      </c>
      <c r="D5360" t="str">
        <f>HYPERLINK("https://streetviewpixels-pa.googleapis.com/v1/thumbnail?panoid=ZPAeMoyJ6s-a4oPoBUpUQQ&amp;cb_client=search.gws-prod.gps&amp;w=408&amp;h=240&amp;yaw=186.94048&amp;pitch=0&amp;thumbfov=100", "link")</f>
        <v>link</v>
      </c>
    </row>
    <row r="5361" spans="1:4" x14ac:dyDescent="0.45">
      <c r="A5361" t="s">
        <v>5363</v>
      </c>
      <c r="B5361">
        <v>33.749833299999999</v>
      </c>
      <c r="C5361">
        <v>-117.878698</v>
      </c>
      <c r="D5361" t="str">
        <f>HYPERLINK("https://lh5.googleusercontent.com/p/AF1QipPum4syTeZ_w2aHB0uZcuKsb2CPHZ5nNbW46IvB=w408-h544-k-no", "link")</f>
        <v>link</v>
      </c>
    </row>
    <row r="5362" spans="1:4" x14ac:dyDescent="0.45">
      <c r="A5362" t="s">
        <v>5364</v>
      </c>
      <c r="B5362">
        <v>33.749680599999998</v>
      </c>
      <c r="C5362">
        <v>-117.87982890000001</v>
      </c>
      <c r="D5362" t="str">
        <f>HYPERLINK("https://streetviewpixels-pa.googleapis.com/v1/thumbnail?panoid=0MU-suA0vnpxsVD26fUl_Q&amp;cb_client=search.gws-prod.gps&amp;w=408&amp;h=240&amp;yaw=90.17319&amp;pitch=0&amp;thumbfov=100", "link")</f>
        <v>link</v>
      </c>
    </row>
    <row r="5363" spans="1:4" x14ac:dyDescent="0.45">
      <c r="A5363" t="s">
        <v>5365</v>
      </c>
      <c r="B5363">
        <v>33.749207800000001</v>
      </c>
      <c r="C5363">
        <v>-117.88033110000001</v>
      </c>
      <c r="D5363" t="s">
        <v>5</v>
      </c>
    </row>
    <row r="5364" spans="1:4" x14ac:dyDescent="0.45">
      <c r="A5364" t="s">
        <v>5366</v>
      </c>
      <c r="B5364">
        <v>33.750521499999998</v>
      </c>
      <c r="C5364">
        <v>-117.8791263</v>
      </c>
      <c r="D5364" t="str">
        <f>HYPERLINK("https://streetviewpixels-pa.googleapis.com/v1/thumbnail?panoid=LIhBHXOq8qfhTtY4lI_nkw&amp;cb_client=search.gws-prod.gps&amp;w=408&amp;h=240&amp;yaw=321.6073&amp;pitch=0&amp;thumbfov=100", "link")</f>
        <v>link</v>
      </c>
    </row>
    <row r="5365" spans="1:4" x14ac:dyDescent="0.45">
      <c r="A5365" t="s">
        <v>5367</v>
      </c>
      <c r="B5365">
        <v>33.750549300000003</v>
      </c>
      <c r="C5365">
        <v>-117.879476</v>
      </c>
      <c r="D5365" t="str">
        <f>HYPERLINK("https://streetviewpixels-pa.googleapis.com/v1/thumbnail?panoid=QK5f6saJhExwPGq8p9Kb0w&amp;cb_client=search.gws-prod.gps&amp;w=408&amp;h=240&amp;yaw=112.37026&amp;pitch=0&amp;thumbfov=100", "link")</f>
        <v>link</v>
      </c>
    </row>
    <row r="5366" spans="1:4" x14ac:dyDescent="0.45">
      <c r="A5366" t="s">
        <v>5368</v>
      </c>
      <c r="B5366">
        <v>33.7496905</v>
      </c>
      <c r="C5366">
        <v>-117.8754101</v>
      </c>
      <c r="D5366" t="str">
        <f>HYPERLINK("https://streetviewpixels-pa.googleapis.com/v1/thumbnail?panoid=Pm-upALI_CC5yPIkQHZtag&amp;cb_client=search.gws-prod.gps&amp;w=408&amp;h=240&amp;yaw=92.66453&amp;pitch=0&amp;thumbfov=100", "link")</f>
        <v>link</v>
      </c>
    </row>
    <row r="5367" spans="1:4" x14ac:dyDescent="0.45">
      <c r="A5367" t="s">
        <v>5369</v>
      </c>
      <c r="B5367">
        <v>33.7458752</v>
      </c>
      <c r="C5367">
        <v>-117.8795472</v>
      </c>
      <c r="D5367" t="str">
        <f>HYPERLINK("https://streetviewpixels-pa.googleapis.com/v1/thumbnail?panoid=y6bQb_6ooJ-U77kkhqX7TQ&amp;cb_client=search.gws-prod.gps&amp;w=408&amp;h=240&amp;yaw=7.2146034&amp;pitch=0&amp;thumbfov=100", "link")</f>
        <v>link</v>
      </c>
    </row>
    <row r="5368" spans="1:4" x14ac:dyDescent="0.45">
      <c r="A5368" t="s">
        <v>5370</v>
      </c>
      <c r="B5368">
        <v>33.751689199999902</v>
      </c>
      <c r="C5368">
        <v>-117.8766787</v>
      </c>
      <c r="D5368" t="str">
        <f>HYPERLINK("https://streetviewpixels-pa.googleapis.com/v1/thumbnail?panoid=iUXEqXycjvKN4-VaApZ0gw&amp;cb_client=search.gws-prod.gps&amp;w=408&amp;h=240&amp;yaw=79.35558&amp;pitch=0&amp;thumbfov=100", "link")</f>
        <v>link</v>
      </c>
    </row>
    <row r="5369" spans="1:4" x14ac:dyDescent="0.45">
      <c r="A5369" t="s">
        <v>5371</v>
      </c>
      <c r="B5369">
        <v>33.751823199999897</v>
      </c>
      <c r="C5369">
        <v>-117.87610479999999</v>
      </c>
      <c r="D5369" t="str">
        <f>HYPERLINK("https://streetviewpixels-pa.googleapis.com/v1/thumbnail?panoid=FoQOw4ZDzOENHAX7ab-Tqg&amp;cb_client=search.gws-prod.gps&amp;w=408&amp;h=240&amp;yaw=302.58038&amp;pitch=0&amp;thumbfov=100", "link")</f>
        <v>link</v>
      </c>
    </row>
    <row r="5370" spans="1:4" x14ac:dyDescent="0.45">
      <c r="A5370" t="s">
        <v>5372</v>
      </c>
      <c r="B5370">
        <v>33.745679799999998</v>
      </c>
      <c r="C5370">
        <v>-117.8803357</v>
      </c>
      <c r="D5370" t="str">
        <f>HYPERLINK("https://streetviewpixels-pa.googleapis.com/v1/thumbnail?panoid=Cvq_Xzf0HYMgv5jzCCSccQ&amp;cb_client=search.gws-prod.gps&amp;w=408&amp;h=240&amp;yaw=204.73506&amp;pitch=0&amp;thumbfov=100", "link")</f>
        <v>link</v>
      </c>
    </row>
    <row r="5371" spans="1:4" x14ac:dyDescent="0.45">
      <c r="A5371" t="s">
        <v>5373</v>
      </c>
      <c r="B5371">
        <v>33.751966000000003</v>
      </c>
      <c r="C5371">
        <v>-117.8751606</v>
      </c>
      <c r="D5371" t="s">
        <v>5</v>
      </c>
    </row>
    <row r="5372" spans="1:4" x14ac:dyDescent="0.45">
      <c r="A5372" t="s">
        <v>5374</v>
      </c>
      <c r="B5372">
        <v>33.751702999999999</v>
      </c>
      <c r="C5372">
        <v>-117.8745215</v>
      </c>
      <c r="D5372" t="str">
        <f>HYPERLINK("https://streetviewpixels-pa.googleapis.com/v1/thumbnail?panoid=b0UzYHb14kxgQ9O4UHQ3zQ&amp;cb_client=search.gws-prod.gps&amp;w=408&amp;h=240&amp;yaw=350.46716&amp;pitch=0&amp;thumbfov=100", "link")</f>
        <v>link</v>
      </c>
    </row>
    <row r="5373" spans="1:4" x14ac:dyDescent="0.45">
      <c r="A5373" t="s">
        <v>5375</v>
      </c>
      <c r="B5373">
        <v>33.7510142</v>
      </c>
      <c r="C5373">
        <v>-117.87381569999999</v>
      </c>
      <c r="D5373" t="str">
        <f>HYPERLINK("https://streetviewpixels-pa.googleapis.com/v1/thumbnail?panoid=zA8jODZbzxF7CK5hIduIyQ&amp;cb_client=search.gws-prod.gps&amp;w=408&amp;h=240&amp;yaw=177.7437&amp;pitch=0&amp;thumbfov=100", "link")</f>
        <v>link</v>
      </c>
    </row>
    <row r="5374" spans="1:4" x14ac:dyDescent="0.45">
      <c r="A5374" t="s">
        <v>5376</v>
      </c>
      <c r="B5374">
        <v>33.752445100000003</v>
      </c>
      <c r="C5374">
        <v>-117.87554470000001</v>
      </c>
      <c r="D5374" t="s">
        <v>5</v>
      </c>
    </row>
    <row r="5375" spans="1:4" x14ac:dyDescent="0.45">
      <c r="A5375" t="s">
        <v>5377</v>
      </c>
      <c r="B5375">
        <v>33.751362999999998</v>
      </c>
      <c r="C5375">
        <v>-117.8737158</v>
      </c>
      <c r="D5375" t="str">
        <f>HYPERLINK("https://streetviewpixels-pa.googleapis.com/v1/thumbnail?panoid=9FH5mq1ok5gEq_Nz18CIvg&amp;cb_client=search.gws-prod.gps&amp;w=408&amp;h=240&amp;yaw=201.48787&amp;pitch=0&amp;thumbfov=100", "link")</f>
        <v>link</v>
      </c>
    </row>
    <row r="5376" spans="1:4" x14ac:dyDescent="0.45">
      <c r="A5376" t="s">
        <v>5378</v>
      </c>
      <c r="B5376">
        <v>33.752820300000003</v>
      </c>
      <c r="C5376">
        <v>-117.875647</v>
      </c>
      <c r="D5376" t="s">
        <v>5</v>
      </c>
    </row>
    <row r="5377" spans="1:4" x14ac:dyDescent="0.45">
      <c r="A5377" t="s">
        <v>5379</v>
      </c>
      <c r="B5377">
        <v>33.751857000000001</v>
      </c>
      <c r="C5377">
        <v>-117.873817</v>
      </c>
      <c r="D5377" t="str">
        <f>HYPERLINK("https://streetviewpixels-pa.googleapis.com/v1/thumbnail?panoid=LhWb8M97AtGEXSQ5DXhZ0Q&amp;cb_client=search.gws-prod.gps&amp;w=408&amp;h=240&amp;yaw=293.06055&amp;pitch=0&amp;thumbfov=100", "link")</f>
        <v>link</v>
      </c>
    </row>
    <row r="5378" spans="1:4" x14ac:dyDescent="0.45">
      <c r="A5378" t="s">
        <v>5380</v>
      </c>
      <c r="B5378">
        <v>33.752894300000001</v>
      </c>
      <c r="C5378">
        <v>-117.8722094</v>
      </c>
      <c r="D5378" t="str">
        <f>HYPERLINK("https://streetviewpixels-pa.googleapis.com/v1/thumbnail?panoid=smn8eZrQQ3fm0nDOdkYVzA&amp;cb_client=search.gws-prod.gps&amp;w=408&amp;h=240&amp;yaw=93.88245&amp;pitch=0&amp;thumbfov=100", "link")</f>
        <v>link</v>
      </c>
    </row>
    <row r="5379" spans="1:4" x14ac:dyDescent="0.45">
      <c r="A5379" t="s">
        <v>5381</v>
      </c>
      <c r="B5379">
        <v>33.7525975</v>
      </c>
      <c r="C5379">
        <v>-117.87145889999999</v>
      </c>
      <c r="D5379" t="str">
        <f>HYPERLINK("https://streetviewpixels-pa.googleapis.com/v1/thumbnail?panoid=qdA_7aV-w8ZaAOyiChProw&amp;cb_client=search.gws-prod.gps&amp;w=408&amp;h=240&amp;yaw=359.8172&amp;pitch=0&amp;thumbfov=100", "link")</f>
        <v>link</v>
      </c>
    </row>
    <row r="5380" spans="1:4" x14ac:dyDescent="0.45">
      <c r="A5380" t="s">
        <v>5382</v>
      </c>
      <c r="B5380">
        <v>33.752250999999902</v>
      </c>
      <c r="C5380">
        <v>-117.87089</v>
      </c>
      <c r="D5380" t="str">
        <f>HYPERLINK("https://streetviewpixels-pa.googleapis.com/v1/thumbnail?panoid=pfK1vwAlnRO-ZwcHJBlSvg&amp;cb_client=search.gws-prod.gps&amp;w=408&amp;h=240&amp;yaw=265.71634&amp;pitch=0&amp;thumbfov=100", "link")</f>
        <v>link</v>
      </c>
    </row>
    <row r="5381" spans="1:4" x14ac:dyDescent="0.45">
      <c r="A5381" t="s">
        <v>5383</v>
      </c>
      <c r="B5381">
        <v>33.753056999999998</v>
      </c>
      <c r="C5381">
        <v>-117.870886</v>
      </c>
      <c r="D5381" t="str">
        <f>HYPERLINK("https://streetviewpixels-pa.googleapis.com/v1/thumbnail?panoid=qmjOxFBaoXDS7LlDkfWyIA&amp;cb_client=search.gws-prod.gps&amp;w=408&amp;h=240&amp;yaw=265.27103&amp;pitch=0&amp;thumbfov=100", "link")</f>
        <v>link</v>
      </c>
    </row>
    <row r="5382" spans="1:4" x14ac:dyDescent="0.45">
      <c r="A5382" t="s">
        <v>5384</v>
      </c>
      <c r="B5382">
        <v>33.752663900000002</v>
      </c>
      <c r="C5382">
        <v>-117.86605659999999</v>
      </c>
      <c r="D5382" t="str">
        <f>HYPERLINK("https://streetviewpixels-pa.googleapis.com/v1/thumbnail?panoid=RJ3E-8bpVTAd_M9OUHJqQg&amp;cb_client=search.gws-prod.gps&amp;w=408&amp;h=240&amp;yaw=269.25238&amp;pitch=0&amp;thumbfov=100", "link")</f>
        <v>link</v>
      </c>
    </row>
    <row r="5383" spans="1:4" x14ac:dyDescent="0.45">
      <c r="A5383" t="s">
        <v>5385</v>
      </c>
      <c r="B5383">
        <v>33.751996300000002</v>
      </c>
      <c r="C5383">
        <v>-117.8663736</v>
      </c>
      <c r="D5383" t="str">
        <f>HYPERLINK("https://streetviewpixels-pa.googleapis.com/v1/thumbnail?panoid=WepwPGIBy6cnlqxq1rLArQ&amp;cb_client=search.gws-prod.gps&amp;w=408&amp;h=240&amp;yaw=54.97529&amp;pitch=0&amp;thumbfov=100", "link")</f>
        <v>link</v>
      </c>
    </row>
    <row r="5384" spans="1:4" x14ac:dyDescent="0.45">
      <c r="A5384" t="s">
        <v>5386</v>
      </c>
      <c r="B5384">
        <v>33.744596999999999</v>
      </c>
      <c r="C5384">
        <v>-117.86469</v>
      </c>
      <c r="D5384" t="str">
        <f>HYPERLINK("https://streetviewpixels-pa.googleapis.com/v1/thumbnail?panoid=w_AVnsYooGU7ba-Jpww9OQ&amp;cb_client=search.gws-prod.gps&amp;w=408&amp;h=240&amp;yaw=4.3630586&amp;pitch=0&amp;thumbfov=100", "link")</f>
        <v>link</v>
      </c>
    </row>
    <row r="5385" spans="1:4" x14ac:dyDescent="0.45">
      <c r="A5385" t="s">
        <v>5387</v>
      </c>
      <c r="B5385">
        <v>33.751867799999999</v>
      </c>
      <c r="C5385">
        <v>-117.86676300000001</v>
      </c>
      <c r="D5385" t="str">
        <f>HYPERLINK("https://streetviewpixels-pa.googleapis.com/v1/thumbnail?panoid=N3UU8A7M9TUnUde6bpUdzw&amp;cb_client=search.gws-prod.gps&amp;w=408&amp;h=240&amp;yaw=296.16318&amp;pitch=0&amp;thumbfov=100", "link")</f>
        <v>link</v>
      </c>
    </row>
    <row r="5386" spans="1:4" x14ac:dyDescent="0.45">
      <c r="A5386" t="s">
        <v>5388</v>
      </c>
      <c r="B5386">
        <v>33.753895499999999</v>
      </c>
      <c r="C5386">
        <v>-117.8659729</v>
      </c>
      <c r="D5386" t="str">
        <f>HYPERLINK("https://streetviewpixels-pa.googleapis.com/v1/thumbnail?panoid=YRpxBW7lSudlQHitysOq4Q&amp;cb_client=search.gws-prod.gps&amp;w=408&amp;h=240&amp;yaw=281.1022&amp;pitch=0&amp;thumbfov=100", "link")</f>
        <v>link</v>
      </c>
    </row>
    <row r="5387" spans="1:4" x14ac:dyDescent="0.45">
      <c r="A5387" t="s">
        <v>5389</v>
      </c>
      <c r="B5387">
        <v>33.754791300000001</v>
      </c>
      <c r="C5387">
        <v>-117.8653479</v>
      </c>
      <c r="D5387" t="str">
        <f>HYPERLINK("https://streetviewpixels-pa.googleapis.com/v1/thumbnail?panoid=EhP_kLKN5AoBwJ1ZcqzzpA&amp;cb_client=search.gws-prod.gps&amp;w=408&amp;h=240&amp;yaw=82.63601&amp;pitch=0&amp;thumbfov=100", "link")</f>
        <v>link</v>
      </c>
    </row>
    <row r="5388" spans="1:4" x14ac:dyDescent="0.45">
      <c r="A5388" t="s">
        <v>5390</v>
      </c>
      <c r="B5388">
        <v>33.752612900000003</v>
      </c>
      <c r="C5388">
        <v>-117.8668515</v>
      </c>
      <c r="D5388" t="str">
        <f>HYPERLINK("https://streetviewpixels-pa.googleapis.com/v1/thumbnail?panoid=oiIPsO9NvoP9AR2mDt6QDQ&amp;cb_client=search.gws-prod.gps&amp;w=408&amp;h=240&amp;yaw=299.21432&amp;pitch=0&amp;thumbfov=100", "link")</f>
        <v>link</v>
      </c>
    </row>
    <row r="5389" spans="1:4" x14ac:dyDescent="0.45">
      <c r="A5389" t="s">
        <v>5391</v>
      </c>
      <c r="B5389">
        <v>33.747746900000003</v>
      </c>
      <c r="C5389">
        <v>-117.8455</v>
      </c>
      <c r="D5389" t="str">
        <f>HYPERLINK("https://streetviewpixels-pa.googleapis.com/v1/thumbnail?panoid=Bd8zaNlLbvA6yDAMVdqGhA&amp;cb_client=search.gws-prod.gps&amp;w=408&amp;h=240&amp;yaw=173.8272&amp;pitch=0&amp;thumbfov=100", "link")</f>
        <v>link</v>
      </c>
    </row>
    <row r="5390" spans="1:4" x14ac:dyDescent="0.45">
      <c r="A5390" t="s">
        <v>5392</v>
      </c>
      <c r="B5390">
        <v>33.753871199999999</v>
      </c>
      <c r="C5390">
        <v>-117.8666637</v>
      </c>
      <c r="D5390" t="str">
        <f>HYPERLINK("https://streetviewpixels-pa.googleapis.com/v1/thumbnail?panoid=4sCWTsbsMML6iFCXNWXgBQ&amp;cb_client=search.gws-prod.gps&amp;w=408&amp;h=240&amp;yaw=312.53506&amp;pitch=0&amp;thumbfov=100", "link")</f>
        <v>link</v>
      </c>
    </row>
    <row r="5391" spans="1:4" x14ac:dyDescent="0.45">
      <c r="A5391" t="s">
        <v>5393</v>
      </c>
      <c r="B5391">
        <v>33.749829599999998</v>
      </c>
      <c r="C5391">
        <v>-117.856375</v>
      </c>
      <c r="D5391" t="str">
        <f>HYPERLINK("https://lh5.googleusercontent.com/p/AF1QipMnbjAiXobEFIgEmzytivd7KM84IwjgDzk1W8-E=w408-h544-k-no", "link")</f>
        <v>link</v>
      </c>
    </row>
    <row r="5392" spans="1:4" x14ac:dyDescent="0.45">
      <c r="A5392" t="s">
        <v>5394</v>
      </c>
      <c r="B5392">
        <v>33.752199500000003</v>
      </c>
      <c r="C5392">
        <v>-117.8567637</v>
      </c>
      <c r="D5392" t="str">
        <f>HYPERLINK("https://streetviewpixels-pa.googleapis.com/v1/thumbnail?panoid=f9Q3Ll-WTkxtoEA4enAYKQ&amp;cb_client=search.gws-prod.gps&amp;w=408&amp;h=240&amp;yaw=104.94582&amp;pitch=0&amp;thumbfov=100", "link")</f>
        <v>link</v>
      </c>
    </row>
    <row r="5393" spans="1:4" x14ac:dyDescent="0.45">
      <c r="A5393" t="s">
        <v>5395</v>
      </c>
      <c r="B5393">
        <v>33.752231600000002</v>
      </c>
      <c r="C5393">
        <v>-117.8569675</v>
      </c>
      <c r="D5393" t="str">
        <f>HYPERLINK("https://streetviewpixels-pa.googleapis.com/v1/thumbnail?panoid=f9Q3Ll-WTkxtoEA4enAYKQ&amp;cb_client=search.gws-prod.gps&amp;w=408&amp;h=240&amp;yaw=104.94582&amp;pitch=0&amp;thumbfov=100", "link")</f>
        <v>link</v>
      </c>
    </row>
    <row r="5394" spans="1:4" x14ac:dyDescent="0.45">
      <c r="A5394" t="s">
        <v>5396</v>
      </c>
      <c r="B5394">
        <v>33.747769400000003</v>
      </c>
      <c r="C5394">
        <v>-117.8540647</v>
      </c>
      <c r="D5394" t="str">
        <f>HYPERLINK("https://streetviewpixels-pa.googleapis.com/v1/thumbnail?panoid=9W124ifmkfXRHFSRZtg9zw&amp;cb_client=search.gws-prod.gps&amp;w=408&amp;h=240&amp;yaw=183.72423&amp;pitch=0&amp;thumbfov=100", "link")</f>
        <v>link</v>
      </c>
    </row>
    <row r="5395" spans="1:4" x14ac:dyDescent="0.45">
      <c r="A5395" t="s">
        <v>5397</v>
      </c>
      <c r="B5395">
        <v>33.748351</v>
      </c>
      <c r="C5395">
        <v>-117.8531314</v>
      </c>
      <c r="D5395" t="str">
        <f>HYPERLINK("https://streetviewpixels-pa.googleapis.com/v1/thumbnail?panoid=dyJ-OYNY6Pj_yW2QTbT_Ng&amp;cb_client=search.gws-prod.gps&amp;w=408&amp;h=240&amp;yaw=299.3066&amp;pitch=0&amp;thumbfov=100", "link")</f>
        <v>link</v>
      </c>
    </row>
    <row r="5396" spans="1:4" x14ac:dyDescent="0.45">
      <c r="A5396" t="s">
        <v>5398</v>
      </c>
      <c r="B5396">
        <v>33.749507100000002</v>
      </c>
      <c r="C5396">
        <v>-117.8606442</v>
      </c>
      <c r="D5396" t="str">
        <f>HYPERLINK("https://streetviewpixels-pa.googleapis.com/v1/thumbnail?panoid=D0NmZpkhMGM9douYLXa_8g&amp;cb_client=search.gws-prod.gps&amp;w=408&amp;h=240&amp;yaw=166.1316&amp;pitch=0&amp;thumbfov=100", "link")</f>
        <v>link</v>
      </c>
    </row>
    <row r="5397" spans="1:4" x14ac:dyDescent="0.45">
      <c r="A5397" t="s">
        <v>5399</v>
      </c>
      <c r="B5397">
        <v>33.748285799999998</v>
      </c>
      <c r="C5397">
        <v>-117.86083549999999</v>
      </c>
      <c r="D5397" t="str">
        <f>HYPERLINK("https://streetviewpixels-pa.googleapis.com/v1/thumbnail?panoid=pxWwc5WnCbcmUEmtuhixSQ&amp;cb_client=search.gws-prod.gps&amp;w=408&amp;h=240&amp;yaw=18.667273&amp;pitch=0&amp;thumbfov=100", "link")</f>
        <v>link</v>
      </c>
    </row>
    <row r="5398" spans="1:4" x14ac:dyDescent="0.45">
      <c r="A5398" t="s">
        <v>5400</v>
      </c>
      <c r="B5398">
        <v>33.747726999999998</v>
      </c>
      <c r="C5398">
        <v>-117.861164</v>
      </c>
      <c r="D5398" t="str">
        <f>HYPERLINK("https://streetviewpixels-pa.googleapis.com/v1/thumbnail?panoid=Faoo7sSxht18_HbxSxWeWw&amp;cb_client=search.gws-prod.gps&amp;w=408&amp;h=240&amp;yaw=178.76411&amp;pitch=0&amp;thumbfov=100", "link")</f>
        <v>link</v>
      </c>
    </row>
    <row r="5399" spans="1:4" x14ac:dyDescent="0.45">
      <c r="A5399" t="s">
        <v>5401</v>
      </c>
      <c r="B5399">
        <v>33.746450899999999</v>
      </c>
      <c r="C5399">
        <v>-117.8604552</v>
      </c>
      <c r="D5399" t="str">
        <f>HYPERLINK("https://streetviewpixels-pa.googleapis.com/v1/thumbnail?panoid=Ydh41XnN-PREzfyBo35UuQ&amp;cb_client=search.gws-prod.gps&amp;w=408&amp;h=240&amp;yaw=12.024949&amp;pitch=0&amp;thumbfov=100", "link")</f>
        <v>link</v>
      </c>
    </row>
    <row r="5400" spans="1:4" x14ac:dyDescent="0.45">
      <c r="A5400" t="s">
        <v>5402</v>
      </c>
      <c r="B5400">
        <v>33.747514500000001</v>
      </c>
      <c r="C5400">
        <v>-117.8511862</v>
      </c>
      <c r="D5400" t="str">
        <f>HYPERLINK("https://streetviewpixels-pa.googleapis.com/v1/thumbnail?panoid=lMYGzG7BKg9cYzvvZOfLSg&amp;cb_client=search.gws-prod.gps&amp;w=408&amp;h=240&amp;yaw=354.33798&amp;pitch=0&amp;thumbfov=100", "link")</f>
        <v>link</v>
      </c>
    </row>
    <row r="5401" spans="1:4" x14ac:dyDescent="0.45">
      <c r="A5401" t="s">
        <v>5403</v>
      </c>
      <c r="B5401">
        <v>33.752490700000003</v>
      </c>
      <c r="C5401">
        <v>-117.8619332</v>
      </c>
      <c r="D5401" t="str">
        <f>HYPERLINK("https://streetviewpixels-pa.googleapis.com/v1/thumbnail?panoid=wkR1zUCokGC4dPuNWdYssw&amp;cb_client=search.gws-prod.gps&amp;w=408&amp;h=240&amp;yaw=298.4918&amp;pitch=0&amp;thumbfov=100", "link")</f>
        <v>link</v>
      </c>
    </row>
    <row r="5402" spans="1:4" x14ac:dyDescent="0.45">
      <c r="A5402" t="s">
        <v>5404</v>
      </c>
      <c r="B5402">
        <v>33.7539649</v>
      </c>
      <c r="C5402">
        <v>-117.85228650000001</v>
      </c>
      <c r="D5402" t="str">
        <f>HYPERLINK("https://streetviewpixels-pa.googleapis.com/v1/thumbnail?panoid=egx4t8M-ZMv1sqfoYi8gfg&amp;cb_client=search.gws-prod.gps&amp;w=408&amp;h=240&amp;yaw=202.2746&amp;pitch=0&amp;thumbfov=100", "link")</f>
        <v>link</v>
      </c>
    </row>
    <row r="5403" spans="1:4" x14ac:dyDescent="0.45">
      <c r="A5403" t="s">
        <v>5405</v>
      </c>
      <c r="B5403">
        <v>33.749923000000003</v>
      </c>
      <c r="C5403">
        <v>-117.863214</v>
      </c>
      <c r="D5403" t="str">
        <f>HYPERLINK("https://streetviewpixels-pa.googleapis.com/v1/thumbnail?panoid=CIpsu2Kfg9Q3lkIswZB62Q&amp;cb_client=search.gws-prod.gps&amp;w=408&amp;h=240&amp;yaw=354.2817&amp;pitch=0&amp;thumbfov=100", "link")</f>
        <v>link</v>
      </c>
    </row>
    <row r="5404" spans="1:4" x14ac:dyDescent="0.45">
      <c r="A5404" t="s">
        <v>5406</v>
      </c>
      <c r="B5404">
        <v>33.754605300000001</v>
      </c>
      <c r="C5404">
        <v>-117.8609453</v>
      </c>
      <c r="D5404" t="str">
        <f>HYPERLINK("https://streetviewpixels-pa.googleapis.com/v1/thumbnail?panoid=A5-xbzFrjn_-3IKXXZ6YBg&amp;cb_client=search.gws-prod.gps&amp;w=408&amp;h=240&amp;yaw=2.866638&amp;pitch=0&amp;thumbfov=100", "link")</f>
        <v>link</v>
      </c>
    </row>
    <row r="5405" spans="1:4" x14ac:dyDescent="0.45">
      <c r="A5405" t="s">
        <v>5407</v>
      </c>
      <c r="B5405">
        <v>33.748411399999902</v>
      </c>
      <c r="C5405">
        <v>-117.8638279</v>
      </c>
      <c r="D5405" t="s">
        <v>5</v>
      </c>
    </row>
    <row r="5406" spans="1:4" x14ac:dyDescent="0.45">
      <c r="A5406" t="s">
        <v>5408</v>
      </c>
      <c r="B5406">
        <v>33.748725299999997</v>
      </c>
      <c r="C5406">
        <v>-117.8645535</v>
      </c>
      <c r="D5406" t="s">
        <v>5</v>
      </c>
    </row>
    <row r="5407" spans="1:4" x14ac:dyDescent="0.45">
      <c r="A5407" t="s">
        <v>5409</v>
      </c>
      <c r="B5407">
        <v>33.750315100000002</v>
      </c>
      <c r="C5407">
        <v>-117.8648402</v>
      </c>
      <c r="D5407" t="str">
        <f>HYPERLINK("https://streetviewpixels-pa.googleapis.com/v1/thumbnail?panoid=e_VgS47zKk49vHFKjW6T3g&amp;cb_client=search.gws-prod.gps&amp;w=408&amp;h=240&amp;yaw=237.66585&amp;pitch=0&amp;thumbfov=100", "link")</f>
        <v>link</v>
      </c>
    </row>
    <row r="5408" spans="1:4" x14ac:dyDescent="0.45">
      <c r="A5408" t="s">
        <v>5410</v>
      </c>
      <c r="B5408">
        <v>33.755765699999898</v>
      </c>
      <c r="C5408">
        <v>-117.8612631</v>
      </c>
      <c r="D5408" t="str">
        <f>HYPERLINK("https://streetviewpixels-pa.googleapis.com/v1/thumbnail?panoid=eZUSN3hmA7DI_texeCBe5Q&amp;cb_client=search.gws-prod.gps&amp;w=408&amp;h=240&amp;yaw=335.5201&amp;pitch=0&amp;thumbfov=100", "link")</f>
        <v>link</v>
      </c>
    </row>
    <row r="5409" spans="1:4" x14ac:dyDescent="0.45">
      <c r="A5409" t="s">
        <v>5411</v>
      </c>
      <c r="B5409">
        <v>33.746124399999999</v>
      </c>
      <c r="C5409">
        <v>-117.864501</v>
      </c>
      <c r="D5409" t="s">
        <v>5</v>
      </c>
    </row>
    <row r="5410" spans="1:4" x14ac:dyDescent="0.45">
      <c r="A5410" t="s">
        <v>5412</v>
      </c>
      <c r="B5410">
        <v>33.751915699999998</v>
      </c>
      <c r="C5410">
        <v>-117.8683315</v>
      </c>
      <c r="D5410" t="str">
        <f>HYPERLINK("https://streetviewpixels-pa.googleapis.com/v1/thumbnail?panoid=Bamut-UdDCG2fnPD6NxnIQ&amp;cb_client=search.gws-prod.gps&amp;w=408&amp;h=240&amp;yaw=66.91699&amp;pitch=0&amp;thumbfov=100", "link")</f>
        <v>link</v>
      </c>
    </row>
    <row r="5411" spans="1:4" x14ac:dyDescent="0.45">
      <c r="A5411" t="s">
        <v>5413</v>
      </c>
      <c r="B5411">
        <v>33.751731499999998</v>
      </c>
      <c r="C5411">
        <v>-117.8693703</v>
      </c>
      <c r="D5411" t="str">
        <f>HYPERLINK("https://streetviewpixels-pa.googleapis.com/v1/thumbnail?panoid=dntm9VhhPPIJ_E2jRtngAg&amp;cb_client=search.gws-prod.gps&amp;w=408&amp;h=240&amp;yaw=93.59868&amp;pitch=0&amp;thumbfov=100", "link")</f>
        <v>link</v>
      </c>
    </row>
    <row r="5412" spans="1:4" x14ac:dyDescent="0.45">
      <c r="A5412" t="s">
        <v>5414</v>
      </c>
      <c r="B5412">
        <v>33.752521399999999</v>
      </c>
      <c r="C5412">
        <v>-117.8682251</v>
      </c>
      <c r="D5412" t="str">
        <f>HYPERLINK("https://streetviewpixels-pa.googleapis.com/v1/thumbnail?panoid=qagSqnuKboPR1lcm6GE9xw&amp;cb_client=search.gws-prod.gps&amp;w=408&amp;h=240&amp;yaw=53.299297&amp;pitch=0&amp;thumbfov=100", "link")</f>
        <v>link</v>
      </c>
    </row>
    <row r="5413" spans="1:4" x14ac:dyDescent="0.45">
      <c r="A5413" t="s">
        <v>5415</v>
      </c>
      <c r="B5413">
        <v>33.752297200000001</v>
      </c>
      <c r="C5413">
        <v>-117.8687903</v>
      </c>
      <c r="D5413" t="str">
        <f>HYPERLINK("https://streetviewpixels-pa.googleapis.com/v1/thumbnail?panoid=-qqYSGDmsBvMnNHxWRJk4A&amp;cb_client=search.gws-prod.gps&amp;w=408&amp;h=240&amp;yaw=283.329&amp;pitch=0&amp;thumbfov=100", "link")</f>
        <v>link</v>
      </c>
    </row>
    <row r="5414" spans="1:4" x14ac:dyDescent="0.45">
      <c r="A5414" t="s">
        <v>5416</v>
      </c>
      <c r="B5414">
        <v>33.752859600000001</v>
      </c>
      <c r="C5414">
        <v>-117.867768</v>
      </c>
      <c r="D5414" t="str">
        <f>HYPERLINK("https://streetviewpixels-pa.googleapis.com/v1/thumbnail?panoid=no7vMIe-0kzrQnwSJHPXyA&amp;cb_client=search.gws-prod.gps&amp;w=408&amp;h=240&amp;yaw=257.90393&amp;pitch=0&amp;thumbfov=100", "link")</f>
        <v>link</v>
      </c>
    </row>
    <row r="5415" spans="1:4" x14ac:dyDescent="0.45">
      <c r="A5415" t="s">
        <v>5417</v>
      </c>
      <c r="B5415">
        <v>33.752139399999997</v>
      </c>
      <c r="C5415">
        <v>-117.8693749</v>
      </c>
      <c r="D5415" t="s">
        <v>5</v>
      </c>
    </row>
    <row r="5416" spans="1:4" x14ac:dyDescent="0.45">
      <c r="A5416" t="s">
        <v>5418</v>
      </c>
      <c r="B5416">
        <v>33.752102000000001</v>
      </c>
      <c r="C5416">
        <v>-117.870423</v>
      </c>
      <c r="D5416" t="str">
        <f>HYPERLINK("https://streetviewpixels-pa.googleapis.com/v1/thumbnail?panoid=yoktl6hPiU72tg24ZREe0Q&amp;cb_client=search.gws-prod.gps&amp;w=408&amp;h=240&amp;yaw=109.0854&amp;pitch=0&amp;thumbfov=100", "link")</f>
        <v>link</v>
      </c>
    </row>
    <row r="5417" spans="1:4" x14ac:dyDescent="0.45">
      <c r="A5417" t="s">
        <v>5419</v>
      </c>
      <c r="B5417">
        <v>33.752875199999998</v>
      </c>
      <c r="C5417">
        <v>-117.8702646</v>
      </c>
      <c r="D5417" t="str">
        <f>HYPERLINK("https://streetviewpixels-pa.googleapis.com/v1/thumbnail?panoid=CCHPnkoHEPf4sFAPE9prew&amp;cb_client=search.gws-prod.gps&amp;w=408&amp;h=240&amp;yaw=105.65627&amp;pitch=0&amp;thumbfov=100", "link")</f>
        <v>link</v>
      </c>
    </row>
    <row r="5418" spans="1:4" x14ac:dyDescent="0.45">
      <c r="A5418" t="s">
        <v>5420</v>
      </c>
      <c r="B5418">
        <v>33.756892999999998</v>
      </c>
      <c r="C5418">
        <v>-117.869319</v>
      </c>
      <c r="D5418" t="str">
        <f>HYPERLINK("https://streetviewpixels-pa.googleapis.com/v1/thumbnail?panoid=u0YNSSk4OKDrHSg-7g6Glg&amp;cb_client=search.gws-prod.gps&amp;w=408&amp;h=240&amp;yaw=44.224613&amp;pitch=0&amp;thumbfov=100", "link")</f>
        <v>link</v>
      </c>
    </row>
    <row r="5419" spans="1:4" x14ac:dyDescent="0.45">
      <c r="A5419" t="s">
        <v>5421</v>
      </c>
      <c r="B5419">
        <v>33.7606579999999</v>
      </c>
      <c r="C5419">
        <v>-117.87066799999999</v>
      </c>
      <c r="D5419" t="str">
        <f>HYPERLINK("https://streetviewpixels-pa.googleapis.com/v1/thumbnail?panoid=Fnzpf4p9NdsTxZkLgXTa_w&amp;cb_client=search.gws-prod.gps&amp;w=408&amp;h=240&amp;yaw=209.44238&amp;pitch=0&amp;thumbfov=100", "link")</f>
        <v>link</v>
      </c>
    </row>
    <row r="5420" spans="1:4" x14ac:dyDescent="0.45">
      <c r="A5420" t="s">
        <v>5422</v>
      </c>
      <c r="B5420">
        <v>33.760657000000002</v>
      </c>
      <c r="C5420">
        <v>-117.870833</v>
      </c>
      <c r="D5420" t="str">
        <f>HYPERLINK("https://streetviewpixels-pa.googleapis.com/v1/thumbnail?panoid=NBdTnfEvdVrwi6v2rY-r7A&amp;cb_client=search.gws-prod.gps&amp;w=408&amp;h=240&amp;yaw=205.86652&amp;pitch=0&amp;thumbfov=100", "link")</f>
        <v>link</v>
      </c>
    </row>
    <row r="5421" spans="1:4" x14ac:dyDescent="0.45">
      <c r="A5421" t="s">
        <v>5423</v>
      </c>
      <c r="B5421">
        <v>33.762101000000001</v>
      </c>
      <c r="C5421">
        <v>-117.87010739999999</v>
      </c>
      <c r="D5421" t="s">
        <v>5</v>
      </c>
    </row>
    <row r="5422" spans="1:4" x14ac:dyDescent="0.45">
      <c r="A5422" t="s">
        <v>5424</v>
      </c>
      <c r="B5422">
        <v>33.755353800000002</v>
      </c>
      <c r="C5422">
        <v>-117.8674434</v>
      </c>
      <c r="D5422" t="str">
        <f>HYPERLINK("https://streetviewpixels-pa.googleapis.com/v1/thumbnail?panoid=0AntIWqsXffgMtYnyDCvTg&amp;cb_client=search.gws-prod.gps&amp;w=408&amp;h=240&amp;yaw=106.27154&amp;pitch=0&amp;thumbfov=100", "link")</f>
        <v>link</v>
      </c>
    </row>
    <row r="5423" spans="1:4" x14ac:dyDescent="0.45">
      <c r="A5423" t="s">
        <v>5425</v>
      </c>
      <c r="B5423">
        <v>33.755870000000002</v>
      </c>
      <c r="C5423">
        <v>-117.8689102</v>
      </c>
      <c r="D5423" t="str">
        <f>HYPERLINK("https://streetviewpixels-pa.googleapis.com/v1/thumbnail?panoid=zlFWpm2xSdOe34-e6fDy_w&amp;cb_client=search.gws-prod.gps&amp;w=408&amp;h=240&amp;yaw=10.048731&amp;pitch=0&amp;thumbfov=100", "link")</f>
        <v>link</v>
      </c>
    </row>
    <row r="5424" spans="1:4" x14ac:dyDescent="0.45">
      <c r="A5424" t="s">
        <v>5426</v>
      </c>
      <c r="B5424">
        <v>33.760625099999999</v>
      </c>
      <c r="C5424">
        <v>-117.8716431</v>
      </c>
      <c r="D5424" t="str">
        <f>HYPERLINK("https://streetviewpixels-pa.googleapis.com/v1/thumbnail?panoid=jeZ36s_ASRFrDBuO3eDKQg&amp;cb_client=search.gws-prod.gps&amp;w=408&amp;h=240&amp;yaw=252.17128&amp;pitch=0&amp;thumbfov=100", "link")</f>
        <v>link</v>
      </c>
    </row>
    <row r="5425" spans="1:4" x14ac:dyDescent="0.45">
      <c r="A5425" t="s">
        <v>5427</v>
      </c>
      <c r="B5425">
        <v>33.754931200000001</v>
      </c>
      <c r="C5425">
        <v>-117.86684200000001</v>
      </c>
      <c r="D5425" t="str">
        <f>HYPERLINK("https://streetviewpixels-pa.googleapis.com/v1/thumbnail?panoid=RWfolBgk8qzgzx86xN_dlg&amp;cb_client=search.gws-prod.gps&amp;w=408&amp;h=240&amp;yaw=201.56155&amp;pitch=0&amp;thumbfov=100", "link")</f>
        <v>link</v>
      </c>
    </row>
    <row r="5426" spans="1:4" x14ac:dyDescent="0.45">
      <c r="A5426" t="s">
        <v>5428</v>
      </c>
      <c r="B5426">
        <v>33.755172199999997</v>
      </c>
      <c r="C5426">
        <v>-117.8689459</v>
      </c>
      <c r="D5426" t="str">
        <f>HYPERLINK("https://streetviewpixels-pa.googleapis.com/v1/thumbnail?panoid=zyzLYZbf2a9qf-mbQza6vA&amp;cb_client=search.gws-prod.gps&amp;w=408&amp;h=240&amp;yaw=250.26443&amp;pitch=0&amp;thumbfov=100", "link")</f>
        <v>link</v>
      </c>
    </row>
    <row r="5427" spans="1:4" x14ac:dyDescent="0.45">
      <c r="A5427" t="s">
        <v>5429</v>
      </c>
      <c r="B5427">
        <v>33.760638999999998</v>
      </c>
      <c r="C5427">
        <v>-117.87225100000001</v>
      </c>
      <c r="D5427" t="str">
        <f>HYPERLINK("https://streetviewpixels-pa.googleapis.com/v1/thumbnail?panoid=CISyjFBx8Tp4CDIwFNm1Hw&amp;cb_client=search.gws-prod.gps&amp;w=408&amp;h=240&amp;yaw=87.786606&amp;pitch=0&amp;thumbfov=100", "link")</f>
        <v>link</v>
      </c>
    </row>
    <row r="5428" spans="1:4" x14ac:dyDescent="0.45">
      <c r="A5428" t="s">
        <v>5430</v>
      </c>
      <c r="B5428">
        <v>33.754503300000003</v>
      </c>
      <c r="C5428">
        <v>-117.86695090000001</v>
      </c>
      <c r="D5428" t="str">
        <f>HYPERLINK("https://streetviewpixels-pa.googleapis.com/v1/thumbnail?panoid=kN3S4nHZ-w9HtQDVFTCbDg&amp;cb_client=search.gws-prod.gps&amp;w=408&amp;h=240&amp;yaw=93.53859&amp;pitch=0&amp;thumbfov=100", "link")</f>
        <v>link</v>
      </c>
    </row>
    <row r="5429" spans="1:4" x14ac:dyDescent="0.45">
      <c r="A5429" t="s">
        <v>5431</v>
      </c>
      <c r="B5429">
        <v>33.755391600000003</v>
      </c>
      <c r="C5429">
        <v>-117.8705492</v>
      </c>
      <c r="D5429" t="str">
        <f>HYPERLINK("https://streetviewpixels-pa.googleapis.com/v1/thumbnail?panoid=dCqc8JnKW_JkmAE0mTDT7A&amp;cb_client=search.gws-prod.gps&amp;w=408&amp;h=240&amp;yaw=213.87779&amp;pitch=0&amp;thumbfov=100", "link")</f>
        <v>link</v>
      </c>
    </row>
    <row r="5430" spans="1:4" x14ac:dyDescent="0.45">
      <c r="A5430" t="s">
        <v>5432</v>
      </c>
      <c r="B5430">
        <v>33.755372000000001</v>
      </c>
      <c r="C5430">
        <v>-117.870532</v>
      </c>
      <c r="D5430" t="str">
        <f>HYPERLINK("https://streetviewpixels-pa.googleapis.com/v1/thumbnail?panoid=dCqc8JnKW_JkmAE0mTDT7A&amp;cb_client=search.gws-prod.gps&amp;w=408&amp;h=240&amp;yaw=213.87779&amp;pitch=0&amp;thumbfov=100", "link")</f>
        <v>link</v>
      </c>
    </row>
    <row r="5431" spans="1:4" x14ac:dyDescent="0.45">
      <c r="A5431" t="s">
        <v>5433</v>
      </c>
      <c r="B5431">
        <v>33.759713599999998</v>
      </c>
      <c r="C5431">
        <v>-117.8655144</v>
      </c>
    </row>
    <row r="5432" spans="1:4" x14ac:dyDescent="0.45">
      <c r="A5432" t="s">
        <v>5434</v>
      </c>
      <c r="B5432">
        <v>33.759589400000003</v>
      </c>
      <c r="C5432">
        <v>-117.86654470000001</v>
      </c>
      <c r="D5432" t="str">
        <f>HYPERLINK("https://streetviewpixels-pa.googleapis.com/v1/thumbnail?panoid=8O6bo4rG5dqwK0y07qE-iA&amp;cb_client=search.gws-prod.gps&amp;w=408&amp;h=240&amp;yaw=188.4788&amp;pitch=0&amp;thumbfov=100", "link")</f>
        <v>link</v>
      </c>
    </row>
    <row r="5433" spans="1:4" x14ac:dyDescent="0.45">
      <c r="A5433" t="s">
        <v>5435</v>
      </c>
      <c r="B5433">
        <v>33.760728</v>
      </c>
      <c r="C5433">
        <v>-117.86718500000001</v>
      </c>
      <c r="D5433" t="str">
        <f>HYPERLINK("https://streetviewpixels-pa.googleapis.com/v1/thumbnail?panoid=T6LVjGZy5cD8y7e2OtzHIA&amp;cb_client=search.gws-prod.gps&amp;w=408&amp;h=240&amp;yaw=200.78644&amp;pitch=0&amp;thumbfov=100", "link")</f>
        <v>link</v>
      </c>
    </row>
    <row r="5434" spans="1:4" x14ac:dyDescent="0.45">
      <c r="A5434" t="s">
        <v>5436</v>
      </c>
      <c r="B5434">
        <v>33.758240000000001</v>
      </c>
      <c r="C5434">
        <v>-117.86670700000001</v>
      </c>
      <c r="D5434" t="str">
        <f>HYPERLINK("https://streetviewpixels-pa.googleapis.com/v1/thumbnail?panoid=QlDupPUWgkBcH2vwEgYPag&amp;cb_client=search.gws-prod.gps&amp;w=408&amp;h=240&amp;yaw=270.41238&amp;pitch=0&amp;thumbfov=100", "link")</f>
        <v>link</v>
      </c>
    </row>
    <row r="5435" spans="1:4" x14ac:dyDescent="0.45">
      <c r="A5435" t="s">
        <v>5437</v>
      </c>
      <c r="B5435">
        <v>33.7607103</v>
      </c>
      <c r="C5435">
        <v>-117.8679803</v>
      </c>
      <c r="D5435" t="str">
        <f>HYPERLINK("https://streetviewpixels-pa.googleapis.com/v1/thumbnail?panoid=AIfW-y2ENV_GOEup9JF8PQ&amp;cb_client=search.gws-prod.gps&amp;w=408&amp;h=240&amp;yaw=98.69821&amp;pitch=0&amp;thumbfov=100", "link")</f>
        <v>link</v>
      </c>
    </row>
    <row r="5436" spans="1:4" x14ac:dyDescent="0.45">
      <c r="A5436" t="s">
        <v>5438</v>
      </c>
      <c r="B5436">
        <v>33.760660999999999</v>
      </c>
      <c r="C5436">
        <v>-117.868617</v>
      </c>
      <c r="D5436" t="str">
        <f>HYPERLINK("https://streetviewpixels-pa.googleapis.com/v1/thumbnail?panoid=4bB8bCNZoCuFQPVHRvPOTA&amp;cb_client=search.gws-prod.gps&amp;w=408&amp;h=240&amp;yaw=207.21713&amp;pitch=0&amp;thumbfov=100", "link")</f>
        <v>link</v>
      </c>
    </row>
    <row r="5437" spans="1:4" x14ac:dyDescent="0.45">
      <c r="A5437" t="s">
        <v>5439</v>
      </c>
      <c r="B5437">
        <v>33.759255000000003</v>
      </c>
      <c r="C5437">
        <v>-117.86888500000001</v>
      </c>
      <c r="D5437" t="str">
        <f>HYPERLINK("https://streetviewpixels-pa.googleapis.com/v1/thumbnail?panoid=j1Pw3wcS0gZx9SBF2EKpjQ&amp;cb_client=search.gws-prod.gps&amp;w=408&amp;h=240&amp;yaw=241.26714&amp;pitch=0&amp;thumbfov=100", "link")</f>
        <v>link</v>
      </c>
    </row>
    <row r="5438" spans="1:4" x14ac:dyDescent="0.45">
      <c r="A5438" t="s">
        <v>5440</v>
      </c>
      <c r="B5438">
        <v>33.758065000000002</v>
      </c>
      <c r="C5438">
        <v>-117.868267</v>
      </c>
      <c r="D5438" t="str">
        <f>HYPERLINK("https://streetviewpixels-pa.googleapis.com/v1/thumbnail?panoid=PNKepKz6Y6lq285fOieETw&amp;cb_client=search.gws-prod.gps&amp;w=408&amp;h=240&amp;yaw=24.511347&amp;pitch=0&amp;thumbfov=100", "link")</f>
        <v>link</v>
      </c>
    </row>
    <row r="5439" spans="1:4" x14ac:dyDescent="0.45">
      <c r="A5439" t="s">
        <v>5441</v>
      </c>
      <c r="B5439">
        <v>33.761537699999998</v>
      </c>
      <c r="C5439">
        <v>-117.8683549</v>
      </c>
      <c r="D5439" t="str">
        <f>HYPERLINK("https://streetviewpixels-pa.googleapis.com/v1/thumbnail?panoid=EARNQvZee-qPA-9hzDfk4Q&amp;cb_client=search.gws-prod.gps&amp;w=408&amp;h=240&amp;yaw=188.7352&amp;pitch=0&amp;thumbfov=100", "link")</f>
        <v>link</v>
      </c>
    </row>
    <row r="5440" spans="1:4" x14ac:dyDescent="0.45">
      <c r="A5440" t="s">
        <v>5442</v>
      </c>
      <c r="B5440">
        <v>33.757245999999903</v>
      </c>
      <c r="C5440">
        <v>-117.8678381</v>
      </c>
      <c r="D5440" t="str">
        <f>HYPERLINK("https://streetviewpixels-pa.googleapis.com/v1/thumbnail?panoid=DZXUv2jweeXWf3KDmHZ7rg&amp;cb_client=search.gws-prod.gps&amp;w=408&amp;h=240&amp;yaw=218.5826&amp;pitch=0&amp;thumbfov=100", "link")</f>
        <v>link</v>
      </c>
    </row>
    <row r="5441" spans="1:4" x14ac:dyDescent="0.45">
      <c r="A5441" t="s">
        <v>5443</v>
      </c>
      <c r="B5441">
        <v>33.762245</v>
      </c>
      <c r="C5441">
        <v>-117.867896</v>
      </c>
      <c r="D5441" t="str">
        <f>HYPERLINK("https://streetviewpixels-pa.googleapis.com/v1/thumbnail?panoid=uqciR1747mHgd55GcblgQw&amp;cb_client=search.gws-prod.gps&amp;w=408&amp;h=240&amp;yaw=272.7704&amp;pitch=0&amp;thumbfov=100", "link")</f>
        <v>link</v>
      </c>
    </row>
    <row r="5442" spans="1:4" x14ac:dyDescent="0.45">
      <c r="A5442" t="s">
        <v>5444</v>
      </c>
      <c r="B5442">
        <v>33.761521000000002</v>
      </c>
      <c r="C5442">
        <v>-117.869229</v>
      </c>
      <c r="D5442" t="str">
        <f>HYPERLINK("https://streetviewpixels-pa.googleapis.com/v1/thumbnail?panoid=Xnq41Wg-j3yv4zim3GT9sQ&amp;cb_client=search.gws-prod.gps&amp;w=408&amp;h=240&amp;yaw=182.08322&amp;pitch=0&amp;thumbfov=100", "link")</f>
        <v>link</v>
      </c>
    </row>
    <row r="5443" spans="1:4" x14ac:dyDescent="0.45">
      <c r="A5443" t="s">
        <v>5445</v>
      </c>
      <c r="B5443">
        <v>33.756726</v>
      </c>
      <c r="C5443">
        <v>-117.868132</v>
      </c>
      <c r="D5443" t="str">
        <f>HYPERLINK("https://streetviewpixels-pa.googleapis.com/v1/thumbnail?panoid=52wIghLyu0xxTNDzfo3XWw&amp;cb_client=search.gws-prod.gps&amp;w=408&amp;h=240&amp;yaw=330.10672&amp;pitch=0&amp;thumbfov=100", "link")</f>
        <v>link</v>
      </c>
    </row>
    <row r="5444" spans="1:4" x14ac:dyDescent="0.45">
      <c r="A5444" t="s">
        <v>5446</v>
      </c>
      <c r="B5444">
        <v>33.756157999999999</v>
      </c>
      <c r="C5444">
        <v>-117.866736</v>
      </c>
      <c r="D5444" t="str">
        <f>HYPERLINK("https://streetviewpixels-pa.googleapis.com/v1/thumbnail?panoid=_9B6udkhx1egoH8we15TsQ&amp;cb_client=search.gws-prod.gps&amp;w=408&amp;h=240&amp;yaw=301.03537&amp;pitch=0&amp;thumbfov=100", "link")</f>
        <v>link</v>
      </c>
    </row>
    <row r="5445" spans="1:4" x14ac:dyDescent="0.45">
      <c r="A5445" t="s">
        <v>5447</v>
      </c>
      <c r="B5445">
        <v>33.758279000000002</v>
      </c>
      <c r="C5445">
        <v>-117.870064</v>
      </c>
      <c r="D5445" t="str">
        <f>HYPERLINK("https://streetviewpixels-pa.googleapis.com/v1/thumbnail?panoid=KS8jBFWdAhvSVgns6qyncA&amp;cb_client=search.gws-prod.gps&amp;w=408&amp;h=240&amp;yaw=259.73727&amp;pitch=0&amp;thumbfov=100", "link")</f>
        <v>link</v>
      </c>
    </row>
    <row r="5446" spans="1:4" x14ac:dyDescent="0.45">
      <c r="A5446" t="s">
        <v>5448</v>
      </c>
      <c r="B5446">
        <v>33.756338900000003</v>
      </c>
      <c r="C5446">
        <v>-117.868115</v>
      </c>
      <c r="D5446" t="str">
        <f>HYPERLINK("https://streetviewpixels-pa.googleapis.com/v1/thumbnail?panoid=1-Q9TxmgShmwAsdw2Dipxw&amp;cb_client=search.gws-prod.gps&amp;w=408&amp;h=240&amp;yaw=200.27776&amp;pitch=0&amp;thumbfov=100", "link")</f>
        <v>link</v>
      </c>
    </row>
    <row r="5447" spans="1:4" x14ac:dyDescent="0.45">
      <c r="A5447" t="s">
        <v>5449</v>
      </c>
      <c r="B5447">
        <v>33.753156500000003</v>
      </c>
      <c r="C5447">
        <v>-117.86934429999999</v>
      </c>
      <c r="D5447" t="str">
        <f>HYPERLINK("https://streetviewpixels-pa.googleapis.com/v1/thumbnail?panoid=ZqyWFJ0AdClBhuhFWph39g&amp;cb_client=search.gws-prod.gps&amp;w=408&amp;h=240&amp;yaw=205.50095&amp;pitch=0&amp;thumbfov=100", "link")</f>
        <v>link</v>
      </c>
    </row>
    <row r="5448" spans="1:4" x14ac:dyDescent="0.45">
      <c r="A5448" t="s">
        <v>5450</v>
      </c>
      <c r="B5448">
        <v>33.753067000000001</v>
      </c>
      <c r="C5448">
        <v>-117.868943</v>
      </c>
      <c r="D5448" t="str">
        <f>HYPERLINK("https://streetviewpixels-pa.googleapis.com/v1/thumbnail?panoid=uAISJk-y54Al0ZmiIfYszQ&amp;cb_client=search.gws-prod.gps&amp;w=408&amp;h=240&amp;yaw=292.80966&amp;pitch=0&amp;thumbfov=100", "link")</f>
        <v>link</v>
      </c>
    </row>
    <row r="5449" spans="1:4" x14ac:dyDescent="0.45">
      <c r="A5449" t="s">
        <v>5451</v>
      </c>
      <c r="B5449">
        <v>33.714926200000001</v>
      </c>
      <c r="C5449">
        <v>-117.853877</v>
      </c>
      <c r="D5449" t="s">
        <v>5</v>
      </c>
    </row>
    <row r="5450" spans="1:4" x14ac:dyDescent="0.45">
      <c r="A5450" t="s">
        <v>5452</v>
      </c>
      <c r="B5450">
        <v>33.7024987</v>
      </c>
      <c r="C5450">
        <v>-117.84491319999999</v>
      </c>
      <c r="D5450" t="str">
        <f>HYPERLINK("https://streetviewpixels-pa.googleapis.com/v1/thumbnail?panoid=_AXvsX9m_X1ziWGuTnNMog&amp;cb_client=search.gws-prod.gps&amp;w=408&amp;h=240&amp;yaw=13.048837&amp;pitch=0&amp;thumbfov=100", "link")</f>
        <v>link</v>
      </c>
    </row>
    <row r="5451" spans="1:4" x14ac:dyDescent="0.45">
      <c r="A5451" t="s">
        <v>5453</v>
      </c>
      <c r="B5451">
        <v>33.703279299999998</v>
      </c>
      <c r="C5451">
        <v>-117.8637669</v>
      </c>
      <c r="D5451" t="str">
        <f>HYPERLINK("https://streetviewpixels-pa.googleapis.com/v1/thumbnail?panoid=6W0GpulgKpmdONypn2kq0w&amp;cb_client=search.gws-prod.gps&amp;w=408&amp;h=240&amp;yaw=16.907883&amp;pitch=0&amp;thumbfov=100", "link")</f>
        <v>link</v>
      </c>
    </row>
    <row r="5452" spans="1:4" x14ac:dyDescent="0.45">
      <c r="A5452" t="s">
        <v>5454</v>
      </c>
      <c r="B5452">
        <v>33.7045101</v>
      </c>
      <c r="C5452">
        <v>-117.8535794</v>
      </c>
      <c r="D5452" t="s">
        <v>5</v>
      </c>
    </row>
    <row r="5453" spans="1:4" x14ac:dyDescent="0.45">
      <c r="A5453" t="s">
        <v>5455</v>
      </c>
      <c r="B5453">
        <v>33.775857899999998</v>
      </c>
      <c r="C5453">
        <v>-118.1120737</v>
      </c>
      <c r="D5453" t="s">
        <v>5</v>
      </c>
    </row>
    <row r="5454" spans="1:4" x14ac:dyDescent="0.45">
      <c r="A5454" t="s">
        <v>5456</v>
      </c>
      <c r="B5454">
        <v>33.780877099999998</v>
      </c>
      <c r="C5454">
        <v>-118.114908</v>
      </c>
      <c r="D5454" t="s">
        <v>5</v>
      </c>
    </row>
    <row r="5455" spans="1:4" x14ac:dyDescent="0.45">
      <c r="A5455" t="s">
        <v>5457</v>
      </c>
      <c r="B5455">
        <v>33.7795895</v>
      </c>
      <c r="C5455">
        <v>-118.1149604</v>
      </c>
      <c r="D5455" t="s">
        <v>5</v>
      </c>
    </row>
    <row r="5456" spans="1:4" x14ac:dyDescent="0.45">
      <c r="A5456" t="s">
        <v>5458</v>
      </c>
      <c r="B5456">
        <v>33.7785297</v>
      </c>
      <c r="C5456">
        <v>-118.1117998</v>
      </c>
      <c r="D5456" t="s">
        <v>5</v>
      </c>
    </row>
    <row r="5457" spans="1:4" x14ac:dyDescent="0.45">
      <c r="A5457" t="s">
        <v>5459</v>
      </c>
      <c r="B5457">
        <v>33.777929</v>
      </c>
      <c r="C5457">
        <v>-118.11162779999999</v>
      </c>
      <c r="D5457" t="s">
        <v>5</v>
      </c>
    </row>
    <row r="5458" spans="1:4" x14ac:dyDescent="0.45">
      <c r="A5458" t="s">
        <v>5460</v>
      </c>
      <c r="B5458">
        <v>33.781656400000003</v>
      </c>
      <c r="C5458">
        <v>-118.1193086</v>
      </c>
      <c r="D5458" t="s">
        <v>5</v>
      </c>
    </row>
    <row r="5459" spans="1:4" x14ac:dyDescent="0.45">
      <c r="A5459" t="s">
        <v>5461</v>
      </c>
      <c r="B5459">
        <v>33.783870200000003</v>
      </c>
      <c r="C5459">
        <v>-118.1207926</v>
      </c>
      <c r="D5459" t="s">
        <v>5</v>
      </c>
    </row>
    <row r="5460" spans="1:4" x14ac:dyDescent="0.45">
      <c r="A5460" t="s">
        <v>5462</v>
      </c>
      <c r="B5460">
        <v>33.780828300000003</v>
      </c>
      <c r="C5460">
        <v>-118.1190773</v>
      </c>
      <c r="D5460" t="str">
        <f>HYPERLINK("https://lh5.googleusercontent.com/p/AF1QipMVdqJzr2GNUBMZERv1BT2HZDzk_ScJfdyZZPBx=w408-h725-k-no", "link")</f>
        <v>link</v>
      </c>
    </row>
    <row r="5461" spans="1:4" x14ac:dyDescent="0.45">
      <c r="A5461" t="s">
        <v>5463</v>
      </c>
      <c r="B5461">
        <v>33.776425000000003</v>
      </c>
      <c r="C5461">
        <v>-118.1149607</v>
      </c>
      <c r="D5461" t="s">
        <v>5</v>
      </c>
    </row>
    <row r="5462" spans="1:4" x14ac:dyDescent="0.45">
      <c r="A5462" t="s">
        <v>5464</v>
      </c>
      <c r="B5462">
        <v>33.793210000000002</v>
      </c>
      <c r="C5462">
        <v>-118.1225953</v>
      </c>
      <c r="D5462" t="str">
        <f>HYPERLINK("https://streetviewpixels-pa.googleapis.com/v1/thumbnail?panoid=aVU3XGGznJuTYo6OIZSrnw&amp;cb_client=search.gws-prod.gps&amp;w=408&amp;h=240&amp;yaw=121.24506&amp;pitch=0&amp;thumbfov=100", "link")</f>
        <v>link</v>
      </c>
    </row>
    <row r="5463" spans="1:4" x14ac:dyDescent="0.45">
      <c r="A5463" t="s">
        <v>5465</v>
      </c>
      <c r="B5463">
        <v>33.787365600000001</v>
      </c>
      <c r="C5463">
        <v>-118.109353</v>
      </c>
      <c r="D5463" t="str">
        <f>HYPERLINK("https://streetviewpixels-pa.googleapis.com/v1/thumbnail?panoid=LLlPPC7859Gdpa0rYQzd3g&amp;cb_client=search.gws-prod.gps&amp;w=408&amp;h=240&amp;yaw=276.47733&amp;pitch=0&amp;thumbfov=100", "link")</f>
        <v>link</v>
      </c>
    </row>
    <row r="5464" spans="1:4" x14ac:dyDescent="0.45">
      <c r="A5464" t="s">
        <v>5466</v>
      </c>
      <c r="B5464">
        <v>33.787389599999997</v>
      </c>
      <c r="C5464">
        <v>-118.109364</v>
      </c>
      <c r="D5464" t="str">
        <f>HYPERLINK("https://streetviewpixels-pa.googleapis.com/v1/thumbnail?panoid=LLlPPC7859Gdpa0rYQzd3g&amp;cb_client=search.gws-prod.gps&amp;w=408&amp;h=240&amp;yaw=276.47733&amp;pitch=0&amp;thumbfov=100", "link")</f>
        <v>link</v>
      </c>
    </row>
    <row r="5465" spans="1:4" x14ac:dyDescent="0.45">
      <c r="A5465" t="s">
        <v>5467</v>
      </c>
      <c r="B5465">
        <v>33.7860303</v>
      </c>
      <c r="C5465">
        <v>-118.1084273</v>
      </c>
      <c r="D5465" t="str">
        <f>HYPERLINK("https://lh5.googleusercontent.com/p/AF1QipOm1fdbYI3h2z1IqoPWKhTwxlSYsfyUy7-DT25D=w408-h544-k-no", "link")</f>
        <v>link</v>
      </c>
    </row>
    <row r="5466" spans="1:4" x14ac:dyDescent="0.45">
      <c r="A5466" t="s">
        <v>5468</v>
      </c>
      <c r="B5466">
        <v>33.784467599999999</v>
      </c>
      <c r="C5466">
        <v>-118.10917329999999</v>
      </c>
      <c r="D5466" t="s">
        <v>5</v>
      </c>
    </row>
    <row r="5467" spans="1:4" x14ac:dyDescent="0.45">
      <c r="A5467" t="s">
        <v>5469</v>
      </c>
      <c r="B5467">
        <v>33.743186399999999</v>
      </c>
      <c r="C5467">
        <v>-117.8257393</v>
      </c>
      <c r="D5467" t="s">
        <v>5</v>
      </c>
    </row>
    <row r="5468" spans="1:4" x14ac:dyDescent="0.45">
      <c r="A5468" t="s">
        <v>5470</v>
      </c>
      <c r="B5468">
        <v>33.743906299999999</v>
      </c>
      <c r="C5468">
        <v>-117.8250982</v>
      </c>
      <c r="D5468" t="s">
        <v>5</v>
      </c>
    </row>
    <row r="5469" spans="1:4" x14ac:dyDescent="0.45">
      <c r="A5469" t="s">
        <v>5471</v>
      </c>
      <c r="B5469">
        <v>33.745225599999998</v>
      </c>
      <c r="C5469">
        <v>-117.8246403</v>
      </c>
      <c r="D5469" t="s">
        <v>5</v>
      </c>
    </row>
    <row r="5470" spans="1:4" x14ac:dyDescent="0.45">
      <c r="A5470" t="s">
        <v>5472</v>
      </c>
      <c r="B5470">
        <v>33.7069209</v>
      </c>
      <c r="C5470">
        <v>-117.80512760000001</v>
      </c>
      <c r="D5470" t="str">
        <f>HYPERLINK("https://streetviewpixels-pa.googleapis.com/v1/thumbnail?panoid=ejPYygFfPICOFfKylsMpkw&amp;cb_client=search.gws-prod.gps&amp;w=408&amp;h=240&amp;yaw=129.18431&amp;pitch=0&amp;thumbfov=100", "link")</f>
        <v>link</v>
      </c>
    </row>
    <row r="5471" spans="1:4" x14ac:dyDescent="0.45">
      <c r="A5471" t="s">
        <v>5473</v>
      </c>
      <c r="B5471">
        <v>33.707143100000003</v>
      </c>
      <c r="C5471">
        <v>-117.80578730000001</v>
      </c>
      <c r="D5471" t="str">
        <f>HYPERLINK("https://streetviewpixels-pa.googleapis.com/v1/thumbnail?panoid=ejPYygFfPICOFfKylsMpkw&amp;cb_client=search.gws-prod.gps&amp;w=408&amp;h=240&amp;yaw=177.43562&amp;pitch=0&amp;thumbfov=100", "link")</f>
        <v>link</v>
      </c>
    </row>
    <row r="5472" spans="1:4" x14ac:dyDescent="0.45">
      <c r="A5472" t="s">
        <v>5474</v>
      </c>
      <c r="B5472">
        <v>33.706012299999998</v>
      </c>
      <c r="C5472">
        <v>-117.8057724</v>
      </c>
      <c r="D5472" t="s">
        <v>5</v>
      </c>
    </row>
    <row r="5473" spans="1:4" x14ac:dyDescent="0.45">
      <c r="A5473" t="s">
        <v>5475</v>
      </c>
      <c r="B5473">
        <v>33.7089584</v>
      </c>
      <c r="C5473">
        <v>-117.79697899999999</v>
      </c>
      <c r="D5473" t="s">
        <v>5</v>
      </c>
    </row>
    <row r="5474" spans="1:4" x14ac:dyDescent="0.45">
      <c r="A5474" t="s">
        <v>5476</v>
      </c>
      <c r="B5474">
        <v>33.695442800000002</v>
      </c>
      <c r="C5474">
        <v>-117.8243655</v>
      </c>
      <c r="D5474" t="s">
        <v>5</v>
      </c>
    </row>
    <row r="5475" spans="1:4" x14ac:dyDescent="0.45">
      <c r="A5475" t="s">
        <v>5477</v>
      </c>
      <c r="B5475">
        <v>33.713979199999997</v>
      </c>
      <c r="C5475">
        <v>-117.8365462</v>
      </c>
      <c r="D5475" t="s">
        <v>5</v>
      </c>
    </row>
    <row r="5476" spans="1:4" x14ac:dyDescent="0.45">
      <c r="A5476" t="s">
        <v>5478</v>
      </c>
      <c r="B5476">
        <v>33.724857</v>
      </c>
      <c r="C5476">
        <v>-117.83444299999999</v>
      </c>
      <c r="D5476" t="str">
        <f>HYPERLINK("https://streetviewpixels-pa.googleapis.com/v1/thumbnail?panoid=h6OstO4EPw9ZRrnB2A5ckA&amp;cb_client=search.gws-prod.gps&amp;w=408&amp;h=240&amp;yaw=330.6639&amp;pitch=0&amp;thumbfov=100", "link")</f>
        <v>link</v>
      </c>
    </row>
    <row r="5477" spans="1:4" x14ac:dyDescent="0.45">
      <c r="A5477" t="s">
        <v>5479</v>
      </c>
      <c r="B5477">
        <v>33.758600899999998</v>
      </c>
      <c r="C5477">
        <v>-117.83251660000001</v>
      </c>
      <c r="D5477" t="str">
        <f>HYPERLINK("https://streetviewpixels-pa.googleapis.com/v1/thumbnail?panoid=MFHdNlxSd8Tf0esOgcmGDA&amp;cb_client=search.gws-prod.gps&amp;w=408&amp;h=240&amp;yaw=64.86197&amp;pitch=0&amp;thumbfov=100", "link")</f>
        <v>link</v>
      </c>
    </row>
    <row r="5478" spans="1:4" x14ac:dyDescent="0.45">
      <c r="A5478" t="s">
        <v>5480</v>
      </c>
      <c r="B5478">
        <v>33.750884300000003</v>
      </c>
      <c r="C5478">
        <v>-117.83352720000001</v>
      </c>
      <c r="D5478" t="str">
        <f>HYPERLINK("https://streetviewpixels-pa.googleapis.com/v1/thumbnail?panoid=m69L57v_kyFa1ol_e5yeNg&amp;cb_client=search.gws-prod.gps&amp;w=408&amp;h=240&amp;yaw=101.39887&amp;pitch=0&amp;thumbfov=100", "link")</f>
        <v>link</v>
      </c>
    </row>
    <row r="5479" spans="1:4" x14ac:dyDescent="0.45">
      <c r="A5479" t="s">
        <v>5481</v>
      </c>
      <c r="B5479">
        <v>33.749007200000001</v>
      </c>
      <c r="C5479">
        <v>-117.8305933</v>
      </c>
      <c r="D5479" t="str">
        <f>HYPERLINK("https://lh5.googleusercontent.com/p/AF1QipPZa6Q89NXD1BuLmp28V6jfskWtpHpuF0ywTG6o=w408-h272-k-no", "link")</f>
        <v>link</v>
      </c>
    </row>
    <row r="5480" spans="1:4" x14ac:dyDescent="0.45">
      <c r="A5480" t="s">
        <v>5482</v>
      </c>
      <c r="B5480">
        <v>33.760633299999903</v>
      </c>
      <c r="C5480">
        <v>-117.8466198</v>
      </c>
      <c r="D5480" t="s">
        <v>5</v>
      </c>
    </row>
    <row r="5481" spans="1:4" x14ac:dyDescent="0.45">
      <c r="A5481" t="s">
        <v>5483</v>
      </c>
      <c r="B5481">
        <v>33.746169600000002</v>
      </c>
      <c r="C5481">
        <v>-117.84167909999999</v>
      </c>
      <c r="D5481" t="str">
        <f>HYPERLINK("https://streetviewpixels-pa.googleapis.com/v1/thumbnail?panoid=ibRke3-5oVtVz-OH_OhNbg&amp;cb_client=search.gws-prod.gps&amp;w=408&amp;h=240&amp;yaw=215.4846&amp;pitch=0&amp;thumbfov=100", "link")</f>
        <v>link</v>
      </c>
    </row>
    <row r="5482" spans="1:4" x14ac:dyDescent="0.45">
      <c r="A5482" t="s">
        <v>5484</v>
      </c>
      <c r="B5482">
        <v>33.746004599999999</v>
      </c>
      <c r="C5482">
        <v>-117.841583</v>
      </c>
      <c r="D5482" t="str">
        <f>HYPERLINK("https://streetviewpixels-pa.googleapis.com/v1/thumbnail?panoid=ibRke3-5oVtVz-OH_OhNbg&amp;cb_client=search.gws-prod.gps&amp;w=408&amp;h=240&amp;yaw=215.4846&amp;pitch=0&amp;thumbfov=100", "link")</f>
        <v>link</v>
      </c>
    </row>
    <row r="5483" spans="1:4" x14ac:dyDescent="0.45">
      <c r="A5483" t="s">
        <v>5485</v>
      </c>
      <c r="B5483">
        <v>33.747345299999999</v>
      </c>
      <c r="C5483">
        <v>-117.8180917</v>
      </c>
      <c r="D5483" t="str">
        <f>HYPERLINK("https://streetviewpixels-pa.googleapis.com/v1/thumbnail?panoid=dtpMKXLPbCg7_3W2nmgxRw&amp;cb_client=search.gws-prod.gps&amp;w=408&amp;h=240&amp;yaw=324.5977&amp;pitch=0&amp;thumbfov=100", "link")</f>
        <v>link</v>
      </c>
    </row>
    <row r="5484" spans="1:4" x14ac:dyDescent="0.45">
      <c r="A5484" t="s">
        <v>5486</v>
      </c>
      <c r="B5484">
        <v>33.739016900000003</v>
      </c>
      <c r="C5484">
        <v>-117.86728600000001</v>
      </c>
      <c r="D5484" t="str">
        <f>HYPERLINK("https://streetviewpixels-pa.googleapis.com/v1/thumbnail?panoid=xE8ChqWrhxbPrM4BEh0wTg&amp;cb_client=search.gws-prod.gps&amp;w=408&amp;h=240&amp;yaw=115.1164&amp;pitch=0&amp;thumbfov=100", "link")</f>
        <v>link</v>
      </c>
    </row>
    <row r="5485" spans="1:4" x14ac:dyDescent="0.45">
      <c r="A5485" t="s">
        <v>5487</v>
      </c>
      <c r="B5485">
        <v>33.7409721</v>
      </c>
      <c r="C5485">
        <v>-117.8672601</v>
      </c>
      <c r="D5485" t="str">
        <f>HYPERLINK("https://streetviewpixels-pa.googleapis.com/v1/thumbnail?panoid=eoL2IcjdFbTq2QKITlv0Dg&amp;cb_client=search.gws-prod.gps&amp;w=408&amp;h=240&amp;yaw=343.87366&amp;pitch=0&amp;thumbfov=100", "link")</f>
        <v>link</v>
      </c>
    </row>
    <row r="5486" spans="1:4" x14ac:dyDescent="0.45">
      <c r="A5486" t="s">
        <v>5488</v>
      </c>
      <c r="B5486">
        <v>33.741168000000002</v>
      </c>
      <c r="C5486">
        <v>-117.86800599999999</v>
      </c>
      <c r="D5486" t="str">
        <f>HYPERLINK("https://streetviewpixels-pa.googleapis.com/v1/thumbnail?panoid=yPIEk8XLgyhL6lBwmn5CvQ&amp;cb_client=search.gws-prod.gps&amp;w=408&amp;h=240&amp;yaw=277.75583&amp;pitch=0&amp;thumbfov=100", "link")</f>
        <v>link</v>
      </c>
    </row>
    <row r="5487" spans="1:4" x14ac:dyDescent="0.45">
      <c r="A5487" t="s">
        <v>5489</v>
      </c>
      <c r="B5487">
        <v>33.743228999999999</v>
      </c>
      <c r="C5487">
        <v>-117.86839000000001</v>
      </c>
      <c r="D5487" t="str">
        <f>HYPERLINK("https://streetviewpixels-pa.googleapis.com/v1/thumbnail?panoid=Xol6Yy1o8qq8H-WimYTayw&amp;cb_client=search.gws-prod.gps&amp;w=408&amp;h=240&amp;yaw=91.917786&amp;pitch=0&amp;thumbfov=100", "link")</f>
        <v>link</v>
      </c>
    </row>
    <row r="5488" spans="1:4" x14ac:dyDescent="0.45">
      <c r="A5488" t="s">
        <v>5490</v>
      </c>
      <c r="B5488">
        <v>33.741742899999998</v>
      </c>
      <c r="C5488">
        <v>-117.8424098</v>
      </c>
      <c r="D5488" t="str">
        <f>HYPERLINK("https://streetviewpixels-pa.googleapis.com/v1/thumbnail?panoid=VN2ea02gPTcDBQ1pg66QAw&amp;cb_client=search.gws-prod.gps&amp;w=408&amp;h=240&amp;yaw=163.16489&amp;pitch=0&amp;thumbfov=100", "link")</f>
        <v>link</v>
      </c>
    </row>
    <row r="5489" spans="1:4" x14ac:dyDescent="0.45">
      <c r="A5489" t="s">
        <v>5491</v>
      </c>
      <c r="B5489">
        <v>33.748336999999999</v>
      </c>
      <c r="C5489">
        <v>-117.896379</v>
      </c>
      <c r="D5489" t="str">
        <f>HYPERLINK("https://streetviewpixels-pa.googleapis.com/v1/thumbnail?panoid=-dJDXa8EQP8Elb20sLNo0A&amp;cb_client=search.gws-prod.gps&amp;w=408&amp;h=240&amp;yaw=179.21074&amp;pitch=0&amp;thumbfov=100", "link")</f>
        <v>link</v>
      </c>
    </row>
    <row r="5490" spans="1:4" x14ac:dyDescent="0.45">
      <c r="A5490" t="s">
        <v>5492</v>
      </c>
      <c r="B5490">
        <v>33.7458125</v>
      </c>
      <c r="C5490">
        <v>-117.8973664</v>
      </c>
      <c r="D5490" t="s">
        <v>5</v>
      </c>
    </row>
    <row r="5491" spans="1:4" x14ac:dyDescent="0.45">
      <c r="A5491" t="s">
        <v>5493</v>
      </c>
      <c r="B5491">
        <v>33.750164099999999</v>
      </c>
      <c r="C5491">
        <v>-117.8906831</v>
      </c>
      <c r="D5491" t="s">
        <v>5</v>
      </c>
    </row>
    <row r="5492" spans="1:4" x14ac:dyDescent="0.45">
      <c r="A5492" t="s">
        <v>5494</v>
      </c>
      <c r="B5492">
        <v>33.744494799999998</v>
      </c>
      <c r="C5492">
        <v>-117.8967341</v>
      </c>
      <c r="D549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codealltry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Mandip Bhadra</cp:lastModifiedBy>
  <dcterms:created xsi:type="dcterms:W3CDTF">2021-07-30T15:44:20Z</dcterms:created>
  <dcterms:modified xsi:type="dcterms:W3CDTF">2021-07-30T15:44:20Z</dcterms:modified>
</cp:coreProperties>
</file>