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101" sheetId="1" state="visible" r:id="rId2"/>
    <sheet name="102" sheetId="2" state="visible" r:id="rId3"/>
    <sheet name="103" sheetId="3" state="visible" r:id="rId4"/>
    <sheet name="104" sheetId="4" state="visible" r:id="rId5"/>
    <sheet name="201" sheetId="5" state="visible" r:id="rId6"/>
    <sheet name="202" sheetId="6" state="visible" r:id="rId7"/>
    <sheet name="203" sheetId="7" state="visible" r:id="rId8"/>
    <sheet name="204" sheetId="8" state="visible" r:id="rId9"/>
    <sheet name="301" sheetId="9" state="visible" r:id="rId10"/>
    <sheet name="302" sheetId="10" state="visible" r:id="rId11"/>
    <sheet name="303" sheetId="11" state="visible" r:id="rId12"/>
    <sheet name="304" sheetId="12" state="visible" r:id="rId13"/>
    <sheet name="401" sheetId="13" state="visible" r:id="rId14"/>
    <sheet name="402" sheetId="14" state="visible" r:id="rId15"/>
    <sheet name="403" sheetId="15" state="visible" r:id="rId16"/>
    <sheet name="404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<sst xmlns="http://schemas.openxmlformats.org/spreadsheetml/2006/main" count="496" uniqueCount="31">
  <si>
    <t xml:space="preserve">General characteristics</t>
  </si>
  <si>
    <r>
      <rPr>
        <b val="true"/>
        <sz val="11"/>
        <color rgb="FF000000"/>
        <rFont val="Times New Roman"/>
        <family val="1"/>
      </rPr>
      <t xml:space="preserve">A</t>
    </r>
    <r>
      <rPr>
        <b val="true"/>
        <vertAlign val="subscript"/>
        <sz val="11"/>
        <color rgb="FF000000"/>
        <rFont val="Times New Roman"/>
        <family val="1"/>
      </rPr>
      <t xml:space="preserve">tot,floor</t>
    </r>
  </si>
  <si>
    <r>
      <rPr>
        <b val="true"/>
        <sz val="11"/>
        <color rgb="FF000000"/>
        <rFont val="Times New Roman"/>
        <family val="1"/>
      </rPr>
      <t xml:space="preserve">A</t>
    </r>
    <r>
      <rPr>
        <b val="true"/>
        <vertAlign val="subscript"/>
        <sz val="11"/>
        <color rgb="FF000000"/>
        <rFont val="Times New Roman"/>
        <family val="1"/>
      </rPr>
      <t xml:space="preserve">floor,0</t>
    </r>
  </si>
  <si>
    <t xml:space="preserve">Level</t>
  </si>
  <si>
    <r>
      <rPr>
        <b val="true"/>
        <sz val="11"/>
        <color rgb="FF000000"/>
        <rFont val="Times New Roman"/>
        <family val="1"/>
      </rPr>
      <t xml:space="preserve">h</t>
    </r>
    <r>
      <rPr>
        <b val="true"/>
        <vertAlign val="subscript"/>
        <sz val="11"/>
        <color rgb="FF000000"/>
        <rFont val="Times New Roman"/>
        <family val="1"/>
      </rPr>
      <t xml:space="preserve">level,0</t>
    </r>
  </si>
  <si>
    <r>
      <rPr>
        <b val="true"/>
        <sz val="11"/>
        <color rgb="FF000000"/>
        <rFont val="Times New Roman"/>
        <family val="1"/>
      </rPr>
      <t xml:space="preserve">h</t>
    </r>
    <r>
      <rPr>
        <b val="true"/>
        <vertAlign val="subscript"/>
        <sz val="11"/>
        <color rgb="FF000000"/>
        <rFont val="Times New Roman"/>
        <family val="1"/>
      </rPr>
      <t xml:space="preserve">level,1</t>
    </r>
  </si>
  <si>
    <r>
      <rPr>
        <b val="true"/>
        <sz val="11"/>
        <color rgb="FF000000"/>
        <rFont val="Times New Roman"/>
        <family val="1"/>
      </rPr>
      <t xml:space="preserve">h</t>
    </r>
    <r>
      <rPr>
        <b val="true"/>
        <vertAlign val="subscript"/>
        <sz val="11"/>
        <color rgb="FF000000"/>
        <rFont val="Times New Roman"/>
        <family val="1"/>
      </rPr>
      <t xml:space="preserve">level,2</t>
    </r>
  </si>
  <si>
    <r>
      <rPr>
        <b val="true"/>
        <sz val="11"/>
        <color rgb="FF000000"/>
        <rFont val="Times New Roman"/>
        <family val="1"/>
      </rPr>
      <t xml:space="preserve">h</t>
    </r>
    <r>
      <rPr>
        <b val="true"/>
        <vertAlign val="subscript"/>
        <sz val="11"/>
        <color rgb="FF000000"/>
        <rFont val="Times New Roman"/>
        <family val="1"/>
      </rPr>
      <t xml:space="preserve">level,3</t>
    </r>
  </si>
  <si>
    <t xml:space="preserve">Zones floor area/volume</t>
  </si>
  <si>
    <t xml:space="preserve">Floor area [m2]</t>
  </si>
  <si>
    <r>
      <rPr>
        <b val="true"/>
        <sz val="11"/>
        <color rgb="FF000000"/>
        <rFont val="Times New Roman"/>
        <family val="1"/>
      </rPr>
      <t xml:space="preserve">Volume [m</t>
    </r>
    <r>
      <rPr>
        <b val="true"/>
        <vertAlign val="superscript"/>
        <sz val="11"/>
        <color rgb="FF000000"/>
        <rFont val="Times New Roman"/>
        <family val="1"/>
      </rPr>
      <t xml:space="preserve">3</t>
    </r>
    <r>
      <rPr>
        <b val="true"/>
        <sz val="11"/>
        <color rgb="FF000000"/>
        <rFont val="Times New Roman"/>
        <family val="1"/>
      </rPr>
      <t xml:space="preserve">]</t>
    </r>
  </si>
  <si>
    <r>
      <rPr>
        <b val="true"/>
        <sz val="11"/>
        <color rgb="FF000000"/>
        <rFont val="Times New Roman"/>
        <family val="1"/>
      </rPr>
      <t xml:space="preserve">A</t>
    </r>
    <r>
      <rPr>
        <b val="true"/>
        <vertAlign val="subscript"/>
        <sz val="11"/>
        <color rgb="FF000000"/>
        <rFont val="Times New Roman"/>
        <family val="1"/>
      </rPr>
      <t xml:space="preserve">life</t>
    </r>
  </si>
  <si>
    <r>
      <rPr>
        <b val="true"/>
        <sz val="11"/>
        <color rgb="FF000000"/>
        <rFont val="Times New Roman"/>
        <family val="1"/>
      </rPr>
      <t xml:space="preserve">A</t>
    </r>
    <r>
      <rPr>
        <b val="true"/>
        <vertAlign val="subscript"/>
        <sz val="11"/>
        <color rgb="FF000000"/>
        <rFont val="Times New Roman"/>
        <family val="1"/>
      </rPr>
      <t xml:space="preserve">night</t>
    </r>
  </si>
  <si>
    <r>
      <rPr>
        <b val="true"/>
        <sz val="11"/>
        <color rgb="FF000000"/>
        <rFont val="Times New Roman"/>
        <family val="1"/>
      </rPr>
      <t xml:space="preserve">A</t>
    </r>
    <r>
      <rPr>
        <b val="true"/>
        <vertAlign val="subscript"/>
        <sz val="11"/>
        <color rgb="FF000000"/>
        <rFont val="Times New Roman"/>
        <family val="1"/>
      </rPr>
      <t xml:space="preserve">kitchen</t>
    </r>
  </si>
  <si>
    <r>
      <rPr>
        <b val="true"/>
        <sz val="11"/>
        <color rgb="FF000000"/>
        <rFont val="Times New Roman"/>
        <family val="1"/>
      </rPr>
      <t xml:space="preserve">A</t>
    </r>
    <r>
      <rPr>
        <b val="true"/>
        <vertAlign val="subscript"/>
        <sz val="11"/>
        <color rgb="FF000000"/>
        <rFont val="Times New Roman"/>
        <family val="1"/>
      </rPr>
      <t xml:space="preserve">bathroom</t>
    </r>
  </si>
  <si>
    <r>
      <rPr>
        <b val="true"/>
        <sz val="11"/>
        <color rgb="FF000000"/>
        <rFont val="Times New Roman"/>
        <family val="1"/>
      </rPr>
      <t xml:space="preserve">A</t>
    </r>
    <r>
      <rPr>
        <b val="true"/>
        <vertAlign val="subscript"/>
        <sz val="11"/>
        <color rgb="FF000000"/>
        <rFont val="Times New Roman"/>
        <family val="1"/>
      </rPr>
      <t xml:space="preserve">unheated</t>
    </r>
  </si>
  <si>
    <r>
      <rPr>
        <b val="true"/>
        <sz val="11"/>
        <color rgb="FF000000"/>
        <rFont val="Times New Roman"/>
        <family val="1"/>
      </rPr>
      <t xml:space="preserve">A</t>
    </r>
    <r>
      <rPr>
        <b val="true"/>
        <vertAlign val="subscript"/>
        <sz val="11"/>
        <color rgb="FF000000"/>
        <rFont val="Times New Roman"/>
        <family val="1"/>
      </rPr>
      <t xml:space="preserve">corridor</t>
    </r>
  </si>
  <si>
    <t xml:space="preserve">Zones</t>
  </si>
  <si>
    <t xml:space="preserve">Life</t>
  </si>
  <si>
    <t xml:space="preserve">Night</t>
  </si>
  <si>
    <t xml:space="preserve">Kitchen</t>
  </si>
  <si>
    <t xml:space="preserve">Bathroom</t>
  </si>
  <si>
    <t xml:space="preserve">Unheated</t>
  </si>
  <si>
    <t xml:space="preserve">Corridor</t>
  </si>
  <si>
    <r>
      <rPr>
        <b val="true"/>
        <sz val="11"/>
        <color rgb="FF000000"/>
        <rFont val="Times New Roman"/>
        <family val="1"/>
      </rPr>
      <t xml:space="preserve">A</t>
    </r>
    <r>
      <rPr>
        <b val="true"/>
        <vertAlign val="subscript"/>
        <sz val="11"/>
        <color rgb="FF000000"/>
        <rFont val="Times New Roman"/>
        <family val="1"/>
      </rPr>
      <t xml:space="preserve">wall</t>
    </r>
  </si>
  <si>
    <r>
      <rPr>
        <b val="true"/>
        <sz val="11"/>
        <color rgb="FF000000"/>
        <rFont val="Times New Roman"/>
        <family val="1"/>
      </rPr>
      <t xml:space="preserve">A</t>
    </r>
    <r>
      <rPr>
        <b val="true"/>
        <vertAlign val="subscript"/>
        <sz val="11"/>
        <color rgb="FF000000"/>
        <rFont val="Times New Roman"/>
        <family val="1"/>
      </rPr>
      <t xml:space="preserve">wind</t>
    </r>
  </si>
  <si>
    <r>
      <rPr>
        <b val="true"/>
        <sz val="11"/>
        <color rgb="FF000000"/>
        <rFont val="Times New Roman"/>
        <family val="1"/>
      </rPr>
      <t xml:space="preserve">A</t>
    </r>
    <r>
      <rPr>
        <b val="true"/>
        <vertAlign val="subscript"/>
        <sz val="11"/>
        <color rgb="FF000000"/>
        <rFont val="Times New Roman"/>
        <family val="1"/>
      </rPr>
      <t xml:space="preserve">roof</t>
    </r>
  </si>
  <si>
    <r>
      <rPr>
        <b val="true"/>
        <sz val="11"/>
        <color rgb="FF000000"/>
        <rFont val="Times New Roman"/>
        <family val="1"/>
      </rPr>
      <t xml:space="preserve">A</t>
    </r>
    <r>
      <rPr>
        <b val="true"/>
        <vertAlign val="subscript"/>
        <sz val="11"/>
        <color rgb="FF000000"/>
        <rFont val="Times New Roman"/>
        <family val="1"/>
      </rPr>
      <t xml:space="preserve">floor</t>
    </r>
  </si>
  <si>
    <r>
      <rPr>
        <b val="true"/>
        <sz val="11"/>
        <color rgb="FF000000"/>
        <rFont val="Times New Roman"/>
        <family val="1"/>
      </rPr>
      <t xml:space="preserve">A</t>
    </r>
    <r>
      <rPr>
        <b val="true"/>
        <vertAlign val="subscript"/>
        <sz val="11"/>
        <color rgb="FF000000"/>
        <rFont val="Times New Roman"/>
        <family val="1"/>
      </rPr>
      <t xml:space="preserve">door</t>
    </r>
  </si>
  <si>
    <r>
      <rPr>
        <b val="true"/>
        <sz val="11"/>
        <color rgb="FF000000"/>
        <rFont val="Times New Roman"/>
        <family val="1"/>
      </rPr>
      <t xml:space="preserve">A</t>
    </r>
    <r>
      <rPr>
        <b val="true"/>
        <vertAlign val="subscript"/>
        <sz val="11"/>
        <color rgb="FF000000"/>
        <rFont val="Times New Roman"/>
        <family val="1"/>
      </rPr>
      <t xml:space="preserve">adj</t>
    </r>
  </si>
  <si>
    <r>
      <rPr>
        <b val="true"/>
        <sz val="11"/>
        <color rgb="FF000000"/>
        <rFont val="Times New Roman"/>
        <family val="1"/>
      </rPr>
      <t xml:space="preserve">A</t>
    </r>
    <r>
      <rPr>
        <b val="true"/>
        <vertAlign val="subscript"/>
        <sz val="11"/>
        <color rgb="FF000000"/>
        <rFont val="Times New Roman"/>
        <family val="1"/>
      </rPr>
      <t xml:space="preserve">int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</si>
</sst>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Times New Roman"/>
      <family val="1"/>
    </font>
    <font>
      <b val="true"/>
      <sz val="11"/>
      <color rgb="FF000000"/>
      <name val="Times New Roman"/>
      <family val="1"/>
    </font>
    <font>
      <b val="true"/>
      <vertAlign val="subscript"/>
      <sz val="11"/>
      <color rgb="FF000000"/>
      <name val="Times New Roman"/>
      <family val="1"/>
    </font>
    <font>
      <sz val="11"/>
      <color rgb="FF000000"/>
      <name val="Times New Roman"/>
      <family val="1"/>
    </font>
    <font>
      <b val="true"/>
      <vertAlign val="superscript"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20" activeCellId="0" sqref="B20"/>
    </sheetView>
  </sheetViews>
  <sheetFormatPr defaultColWidth="11.421875" defaultRowHeight="15" zeroHeight="false" outlineLevelRow="0" outlineLevelCol="0"/>
  <cols>
    <col collapsed="false" customWidth="true" hidden="false" outlineLevel="0" max="1" min="1" style="0" width="22.42"/>
    <col collapsed="false" customWidth="true" hidden="false" outlineLevel="0" max="2" min="2" style="0" width="15.28"/>
    <col collapsed="false" customWidth="true" hidden="false" outlineLevel="0" max="3" min="3" style="0" width="12.7"/>
    <col collapsed="false" customWidth="true" hidden="false" outlineLevel="0" max="4" min="4" style="0" width="12.28"/>
    <col collapsed="false" customWidth="true" hidden="false" outlineLevel="0" max="5" min="5" style="0" width="11.7"/>
  </cols>
  <sheetData>
    <row r="1" customFormat="false" ht="15" hidden="false" customHeight="false" outlineLevel="0" collapsed="false">
      <c r="A1" s="1" t="s">
        <v>0</v>
      </c>
    </row>
    <row r="2" customFormat="false" ht="17.25" hidden="false" customHeight="false" outlineLevel="0" collapsed="false">
      <c r="A2" s="2" t="s">
        <v>1</v>
      </c>
      <c r="B2" s="3" t="n">
        <f aca="false">104.9+7.12*10.7</f>
        <v>181.084</v>
      </c>
      <c r="C2" s="4"/>
      <c r="D2" s="4"/>
      <c r="E2" s="4"/>
      <c r="F2" s="4"/>
      <c r="G2" s="4"/>
    </row>
    <row r="3" customFormat="false" ht="17.25" hidden="false" customHeight="false" outlineLevel="0" collapsed="false">
      <c r="A3" s="2" t="s">
        <v>2</v>
      </c>
      <c r="B3" s="3" t="n">
        <f aca="false">9.8*10.7</f>
        <v>104.86</v>
      </c>
      <c r="C3" s="4"/>
      <c r="D3" s="4"/>
      <c r="E3" s="4"/>
      <c r="F3" s="4"/>
      <c r="G3" s="4"/>
    </row>
    <row r="4" customFormat="false" ht="15" hidden="false" customHeight="false" outlineLevel="0" collapsed="false">
      <c r="A4" s="2" t="s">
        <v>3</v>
      </c>
      <c r="B4" s="3" t="n">
        <f aca="false">2</f>
        <v>2</v>
      </c>
      <c r="C4" s="4"/>
      <c r="D4" s="4"/>
      <c r="E4" s="4"/>
      <c r="F4" s="4"/>
      <c r="G4" s="4"/>
    </row>
    <row r="5" customFormat="false" ht="17.25" hidden="false" customHeight="false" outlineLevel="0" collapsed="false">
      <c r="A5" s="2" t="s">
        <v>4</v>
      </c>
      <c r="B5" s="3" t="n">
        <f aca="false">3.2</f>
        <v>3.2</v>
      </c>
      <c r="C5" s="4"/>
      <c r="D5" s="4"/>
      <c r="E5" s="4"/>
      <c r="F5" s="4"/>
      <c r="G5" s="4"/>
    </row>
    <row r="6" customFormat="false" ht="17.25" hidden="false" customHeight="false" outlineLevel="0" collapsed="false">
      <c r="A6" s="2" t="s">
        <v>5</v>
      </c>
      <c r="B6" s="3" t="n">
        <f aca="false">0.55+2.15</f>
        <v>2.7</v>
      </c>
      <c r="C6" s="4"/>
      <c r="D6" s="4"/>
      <c r="E6" s="4"/>
      <c r="F6" s="4"/>
      <c r="G6" s="4"/>
    </row>
    <row r="7" customFormat="false" ht="17.25" hidden="false" customHeight="false" outlineLevel="0" collapsed="false">
      <c r="A7" s="2" t="s">
        <v>6</v>
      </c>
      <c r="B7" s="3" t="n">
        <v>0</v>
      </c>
      <c r="C7" s="4"/>
      <c r="D7" s="4"/>
      <c r="E7" s="4"/>
      <c r="F7" s="4"/>
      <c r="G7" s="4"/>
    </row>
    <row r="8" customFormat="false" ht="17.25" hidden="false" customHeight="false" outlineLevel="0" collapsed="false">
      <c r="A8" s="2" t="s">
        <v>7</v>
      </c>
      <c r="B8" s="3" t="n">
        <v>0</v>
      </c>
      <c r="C8" s="4"/>
      <c r="D8" s="4"/>
      <c r="E8" s="4"/>
      <c r="F8" s="4"/>
      <c r="G8" s="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</row>
    <row r="10" customFormat="false" ht="15" hidden="false" customHeight="false" outlineLevel="0" collapsed="false">
      <c r="A10" s="5" t="s">
        <v>8</v>
      </c>
      <c r="B10" s="4"/>
      <c r="C10" s="4"/>
      <c r="D10" s="4"/>
      <c r="E10" s="4"/>
      <c r="F10" s="4"/>
      <c r="G10" s="4"/>
    </row>
    <row r="11" customFormat="false" ht="16.5" hidden="false" customHeight="false" outlineLevel="0" collapsed="false">
      <c r="A11" s="6"/>
      <c r="B11" s="2" t="s">
        <v>9</v>
      </c>
      <c r="C11" s="2" t="s">
        <v>10</v>
      </c>
      <c r="D11" s="4"/>
      <c r="E11" s="4"/>
      <c r="F11" s="4"/>
      <c r="G11" s="4"/>
    </row>
    <row r="12" customFormat="false" ht="17.25" hidden="false" customHeight="false" outlineLevel="0" collapsed="false">
      <c r="A12" s="2" t="s">
        <v>11</v>
      </c>
      <c r="B12" s="3" t="n">
        <f aca="false">(2.68*7.5)+(4.3*7.12)</f>
        <v>50.716</v>
      </c>
      <c r="C12" s="3" t="n">
        <f aca="false">50.7*B5</f>
        <v>162.24</v>
      </c>
      <c r="D12" s="4"/>
      <c r="E12" s="4"/>
      <c r="F12" s="4"/>
      <c r="G12" s="4"/>
    </row>
    <row r="13" customFormat="false" ht="17.25" hidden="false" customHeight="false" outlineLevel="0" collapsed="false">
      <c r="A13" s="2" t="s">
        <v>12</v>
      </c>
      <c r="B13" s="3" t="n">
        <f aca="false">(3.8+3.32)*3.2</f>
        <v>22.784</v>
      </c>
      <c r="C13" s="3" t="n">
        <f aca="false">22.7*B5</f>
        <v>72.64</v>
      </c>
      <c r="D13" s="4"/>
      <c r="E13" s="4"/>
      <c r="F13" s="4"/>
      <c r="G13" s="4"/>
    </row>
    <row r="14" customFormat="false" ht="17.25" hidden="false" customHeight="false" outlineLevel="0" collapsed="false">
      <c r="A14" s="2" t="s">
        <v>13</v>
      </c>
      <c r="B14" s="3" t="n">
        <f aca="false">2.68*3.2</f>
        <v>8.576</v>
      </c>
      <c r="C14" s="3" t="n">
        <f aca="false">8.5*B5</f>
        <v>27.2</v>
      </c>
      <c r="D14" s="4"/>
      <c r="E14" s="4"/>
      <c r="F14" s="4"/>
      <c r="G14" s="4"/>
    </row>
    <row r="15" customFormat="false" ht="17.25" hidden="false" customHeight="false" outlineLevel="0" collapsed="false">
      <c r="A15" s="2" t="s">
        <v>14</v>
      </c>
      <c r="B15" s="3" t="n">
        <f aca="false">2.81*2.2</f>
        <v>6.182</v>
      </c>
      <c r="C15" s="3" t="n">
        <f aca="false">5.5*B5</f>
        <v>17.6</v>
      </c>
      <c r="D15" s="4"/>
      <c r="E15" s="4"/>
      <c r="F15" s="4"/>
      <c r="G15" s="4"/>
    </row>
    <row r="16" customFormat="false" ht="17.25" hidden="false" customHeight="false" outlineLevel="0" collapsed="false">
      <c r="A16" s="2" t="s">
        <v>15</v>
      </c>
      <c r="B16" s="3" t="n">
        <f aca="false">(4.31*2.2)+(10.7*7.12)</f>
        <v>85.666</v>
      </c>
      <c r="C16" s="3" t="n">
        <f aca="false">9.48*B5+76.1*0.55+10.7*(7.12*2.15)/2</f>
        <v>154.0888</v>
      </c>
      <c r="D16" s="4"/>
      <c r="E16" s="4"/>
      <c r="F16" s="4"/>
      <c r="G16" s="4"/>
    </row>
    <row r="17" customFormat="false" ht="17.25" hidden="false" customHeight="false" outlineLevel="0" collapsed="false">
      <c r="A17" s="2" t="s">
        <v>16</v>
      </c>
      <c r="B17" s="3" t="n">
        <f aca="false">7.12*1</f>
        <v>7.12</v>
      </c>
      <c r="C17" s="3" t="n">
        <f aca="false">7.12*B5</f>
        <v>22.784</v>
      </c>
      <c r="D17" s="4"/>
      <c r="E17" s="4"/>
      <c r="F17" s="4"/>
      <c r="G17" s="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</row>
    <row r="19" customFormat="false" ht="15" hidden="false" customHeight="false" outlineLevel="0" collapsed="false">
      <c r="A19" s="5" t="s">
        <v>17</v>
      </c>
      <c r="B19" s="4"/>
      <c r="C19" s="4"/>
      <c r="D19" s="4"/>
      <c r="E19" s="4"/>
      <c r="F19" s="4"/>
      <c r="G19" s="4"/>
    </row>
    <row r="20" customFormat="false" ht="15" hidden="false" customHeight="false" outlineLevel="0" collapsed="false">
      <c r="A20" s="7"/>
      <c r="B20" s="8" t="s">
        <v>18</v>
      </c>
      <c r="C20" s="8" t="s">
        <v>19</v>
      </c>
      <c r="D20" s="8" t="s">
        <v>20</v>
      </c>
      <c r="E20" s="8" t="s">
        <v>21</v>
      </c>
      <c r="F20" s="8" t="s">
        <v>22</v>
      </c>
      <c r="G20" s="8" t="s">
        <v>23</v>
      </c>
    </row>
    <row r="21" customFormat="false" ht="17.25" hidden="false" customHeight="false" outlineLevel="0" collapsed="false">
      <c r="A21" s="9" t="s">
        <v>24</v>
      </c>
      <c r="B21" s="10" t="n">
        <f aca="false">(2.68+4.3+3.2)*B5-B22-B25</f>
        <v>23.176</v>
      </c>
      <c r="C21" s="10" t="n">
        <f aca="false">(3.32+3.8+3.2)*B5-C22</f>
        <v>29.524</v>
      </c>
      <c r="D21" s="10" t="n">
        <f aca="false">(3.2+2.68)*B5-C23</f>
        <v>18.816</v>
      </c>
      <c r="E21" s="10" t="n">
        <f aca="false">(2.81+2.2)*B5</f>
        <v>16.032</v>
      </c>
      <c r="F21" s="3" t="n">
        <f aca="false">(7.12+10.7*0.55+2*(7.12/2)*SQRT(2.15^2+(7.12/2)^2))-F22</f>
        <v>40.6160690762762</v>
      </c>
      <c r="G21" s="3" t="n">
        <f aca="false">1*B5-G25</f>
        <v>1.05</v>
      </c>
    </row>
    <row r="22" customFormat="false" ht="17.25" hidden="false" customHeight="false" outlineLevel="0" collapsed="false">
      <c r="A22" s="9" t="s">
        <v>25</v>
      </c>
      <c r="B22" s="3" t="n">
        <f aca="false">2.5+1.25+3.5</f>
        <v>7.25</v>
      </c>
      <c r="C22" s="3" t="n">
        <f aca="false">7/2</f>
        <v>3.5</v>
      </c>
      <c r="D22" s="3" t="n">
        <v>1.25</v>
      </c>
      <c r="E22" s="10" t="n">
        <v>0</v>
      </c>
      <c r="F22" s="10" t="n">
        <v>2</v>
      </c>
      <c r="G22" s="10" t="n">
        <v>0</v>
      </c>
    </row>
    <row r="23" customFormat="false" ht="17.25" hidden="false" customHeight="false" outlineLevel="0" collapsed="false">
      <c r="A23" s="9" t="s">
        <v>26</v>
      </c>
      <c r="B23" s="10" t="n">
        <f aca="false">2.68*(4.3+3.2)</f>
        <v>20.1</v>
      </c>
      <c r="C23" s="10" t="n">
        <v>0</v>
      </c>
      <c r="D23" s="10" t="n">
        <v>8.57</v>
      </c>
      <c r="E23" s="10" t="n">
        <v>0</v>
      </c>
      <c r="F23" s="10" t="n">
        <f aca="false">2*(10.7*SQRT(B64^2+(7.12/2)^2))</f>
        <v>76.184</v>
      </c>
      <c r="G23" s="10" t="n">
        <v>0</v>
      </c>
    </row>
    <row r="24" customFormat="false" ht="17.25" hidden="false" customHeight="false" outlineLevel="0" collapsed="false">
      <c r="A24" s="9" t="s">
        <v>27</v>
      </c>
      <c r="B24" s="10" t="n">
        <v>50.7</v>
      </c>
      <c r="C24" s="10" t="n">
        <v>22.7</v>
      </c>
      <c r="D24" s="10" t="n">
        <v>8.57</v>
      </c>
      <c r="E24" s="10" t="n">
        <v>6.18</v>
      </c>
      <c r="F24" s="3" t="n">
        <f aca="false">(4.31*2.2)</f>
        <v>9.482</v>
      </c>
      <c r="G24" s="3" t="n">
        <v>7.12</v>
      </c>
    </row>
    <row r="25" customFormat="false" ht="17.25" hidden="false" customHeight="false" outlineLevel="0" collapsed="false">
      <c r="A25" s="9" t="s">
        <v>28</v>
      </c>
      <c r="B25" s="10" t="n">
        <v>2.15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2.15</v>
      </c>
    </row>
    <row r="26" customFormat="false" ht="17.25" hidden="false" customHeight="false" outlineLevel="0" collapsed="false">
      <c r="A26" s="9" t="s">
        <v>29</v>
      </c>
      <c r="B26" s="10" t="n">
        <v>0</v>
      </c>
      <c r="C26" s="10" t="n">
        <v>0</v>
      </c>
      <c r="D26" s="10" t="n">
        <v>0</v>
      </c>
      <c r="E26" s="10" t="n">
        <v>0</v>
      </c>
      <c r="F26" s="10" t="n">
        <v>0</v>
      </c>
      <c r="G26" s="10" t="n">
        <v>0</v>
      </c>
    </row>
    <row r="27" customFormat="false" ht="30" hidden="false" customHeight="true" outlineLevel="0" collapsed="false">
      <c r="A27" s="9" t="s">
        <v>30</v>
      </c>
      <c r="B27" s="10" t="n">
        <f aca="false">(2.68+4.3+3.2)*B5</f>
        <v>32.576</v>
      </c>
      <c r="C27" s="10" t="n">
        <f aca="false">(3.32+3.8+3.2)*B5</f>
        <v>33.024</v>
      </c>
      <c r="D27" s="10" t="n">
        <f aca="false">(2.68+3.2)*B5</f>
        <v>18.816</v>
      </c>
      <c r="E27" s="10" t="n">
        <f aca="false">(2.2+2.81)*B5</f>
        <v>16.032</v>
      </c>
      <c r="F27" s="10" t="n">
        <f aca="false">2*2.2+4.31</f>
        <v>8.71</v>
      </c>
      <c r="G27" s="10" t="n">
        <f aca="false">(2*7.12+1)*B5</f>
        <v>48.768</v>
      </c>
    </row>
    <row r="28" customFormat="false" ht="15" hidden="false" customHeight="false" outlineLevel="0" collapsed="false">
      <c r="B28" s="11"/>
      <c r="C28" s="11"/>
      <c r="D28" s="11"/>
      <c r="E28" s="11"/>
      <c r="F28" s="11"/>
      <c r="G28" s="11"/>
    </row>
    <row r="29" customFormat="false" ht="15" hidden="false" customHeight="false" outlineLevel="0" collapsed="false">
      <c r="B29" s="12"/>
      <c r="C29" s="12"/>
      <c r="D29" s="12"/>
      <c r="E29" s="12"/>
      <c r="F29" s="12"/>
      <c r="G29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421875" defaultRowHeight="15" zeroHeight="false" outlineLevelRow="0" outlineLevelCol="0"/>
  <cols>
    <col collapsed="false" customWidth="true" hidden="false" outlineLevel="0" max="1" min="1" style="0" width="22.42"/>
    <col collapsed="false" customWidth="true" hidden="false" outlineLevel="0" max="2" min="2" style="0" width="15.28"/>
    <col collapsed="false" customWidth="true" hidden="false" outlineLevel="0" max="3" min="3" style="0" width="12.7"/>
    <col collapsed="false" customWidth="true" hidden="false" outlineLevel="0" max="4" min="4" style="0" width="12.28"/>
    <col collapsed="false" customWidth="true" hidden="false" outlineLevel="0" max="5" min="5" style="0" width="11.7"/>
  </cols>
  <sheetData>
    <row r="1" customFormat="false" ht="15" hidden="false" customHeight="false" outlineLevel="0" collapsed="false">
      <c r="A1" s="1" t="s">
        <v>0</v>
      </c>
    </row>
    <row r="2" customFormat="false" ht="17.25" hidden="false" customHeight="false" outlineLevel="0" collapsed="false">
      <c r="A2" s="2" t="s">
        <v>1</v>
      </c>
      <c r="B2" s="3" t="n">
        <f aca="false">9.5*11.35*4</f>
        <v>431.3</v>
      </c>
      <c r="C2" s="4"/>
      <c r="D2" s="4"/>
      <c r="E2" s="4"/>
      <c r="F2" s="4"/>
      <c r="G2" s="4"/>
      <c r="H2" s="4"/>
      <c r="I2" s="14"/>
    </row>
    <row r="3" customFormat="false" ht="17.25" hidden="false" customHeight="false" outlineLevel="0" collapsed="false">
      <c r="A3" s="2" t="s">
        <v>2</v>
      </c>
      <c r="B3" s="3" t="n">
        <f aca="false">107.8</f>
        <v>107.8</v>
      </c>
      <c r="C3" s="4"/>
      <c r="D3" s="4"/>
      <c r="E3" s="4"/>
      <c r="F3" s="4"/>
      <c r="G3" s="4"/>
      <c r="H3" s="4"/>
      <c r="I3" s="14"/>
    </row>
    <row r="4" customFormat="false" ht="15" hidden="false" customHeight="false" outlineLevel="0" collapsed="false">
      <c r="A4" s="2" t="s">
        <v>3</v>
      </c>
      <c r="B4" s="3" t="n">
        <f aca="false">4</f>
        <v>4</v>
      </c>
      <c r="C4" s="4"/>
      <c r="D4" s="4"/>
      <c r="E4" s="4"/>
      <c r="F4" s="4"/>
      <c r="G4" s="4"/>
      <c r="H4" s="4"/>
      <c r="I4" s="14"/>
    </row>
    <row r="5" customFormat="false" ht="17.25" hidden="false" customHeight="false" outlineLevel="0" collapsed="false">
      <c r="A5" s="2" t="s">
        <v>4</v>
      </c>
      <c r="B5" s="3" t="n">
        <f aca="false">3</f>
        <v>3</v>
      </c>
      <c r="C5" s="4"/>
      <c r="D5" s="4"/>
      <c r="E5" s="4"/>
      <c r="F5" s="4"/>
      <c r="G5" s="4"/>
      <c r="H5" s="4"/>
      <c r="I5" s="14"/>
    </row>
    <row r="6" customFormat="false" ht="17.25" hidden="false" customHeight="false" outlineLevel="0" collapsed="false">
      <c r="A6" s="2" t="s">
        <v>5</v>
      </c>
      <c r="B6" s="3" t="n">
        <f aca="false">3</f>
        <v>3</v>
      </c>
      <c r="C6" s="4"/>
      <c r="D6" s="4"/>
      <c r="E6" s="4"/>
      <c r="F6" s="4"/>
      <c r="G6" s="4"/>
      <c r="H6" s="4"/>
      <c r="I6" s="14"/>
    </row>
    <row r="7" customFormat="false" ht="17.25" hidden="false" customHeight="false" outlineLevel="0" collapsed="false">
      <c r="A7" s="2" t="s">
        <v>6</v>
      </c>
      <c r="B7" s="3" t="n">
        <f aca="false">3</f>
        <v>3</v>
      </c>
      <c r="C7" s="4"/>
      <c r="D7" s="4"/>
      <c r="E7" s="4"/>
      <c r="F7" s="4"/>
      <c r="G7" s="4"/>
      <c r="H7" s="4"/>
      <c r="I7" s="14"/>
    </row>
    <row r="8" customFormat="false" ht="17.25" hidden="false" customHeight="false" outlineLevel="0" collapsed="false">
      <c r="A8" s="2" t="s">
        <v>7</v>
      </c>
      <c r="B8" s="3" t="n">
        <f aca="false">2.5</f>
        <v>2.5</v>
      </c>
      <c r="C8" s="4"/>
      <c r="D8" s="4"/>
      <c r="E8" s="4"/>
      <c r="F8" s="4"/>
      <c r="G8" s="4"/>
      <c r="H8" s="4"/>
      <c r="I8" s="1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14"/>
    </row>
    <row r="10" customFormat="false" ht="15" hidden="false" customHeight="false" outlineLevel="0" collapsed="false">
      <c r="A10" s="5" t="s">
        <v>8</v>
      </c>
      <c r="B10" s="4"/>
      <c r="C10" s="4"/>
      <c r="D10" s="4"/>
      <c r="E10" s="4"/>
      <c r="F10" s="4"/>
      <c r="G10" s="4"/>
      <c r="H10" s="4"/>
      <c r="I10" s="14"/>
    </row>
    <row r="11" customFormat="false" ht="16.5" hidden="false" customHeight="false" outlineLevel="0" collapsed="false">
      <c r="A11" s="6"/>
      <c r="B11" s="2" t="s">
        <v>9</v>
      </c>
      <c r="C11" s="2" t="s">
        <v>10</v>
      </c>
      <c r="D11" s="4"/>
      <c r="E11" s="4"/>
      <c r="F11" s="4"/>
      <c r="G11" s="4"/>
      <c r="H11" s="4"/>
      <c r="I11" s="14"/>
    </row>
    <row r="12" customFormat="false" ht="17.25" hidden="false" customHeight="false" outlineLevel="0" collapsed="false">
      <c r="A12" s="2" t="s">
        <v>11</v>
      </c>
      <c r="B12" s="3" t="n">
        <f aca="false">2*11.35*4.6+3*5+4.9*5</f>
        <v>143.92</v>
      </c>
      <c r="C12" s="3" t="n">
        <f aca="false">B12*B$5</f>
        <v>431.76</v>
      </c>
      <c r="D12" s="4"/>
      <c r="E12" s="4"/>
      <c r="F12" s="4"/>
      <c r="G12" s="4"/>
      <c r="H12" s="4"/>
      <c r="I12" s="14"/>
    </row>
    <row r="13" customFormat="false" ht="17.25" hidden="false" customHeight="false" outlineLevel="0" collapsed="false">
      <c r="A13" s="2" t="s">
        <v>12</v>
      </c>
      <c r="B13" s="3" t="n">
        <f aca="false">11.35*4.6+4.9*5</f>
        <v>76.71</v>
      </c>
      <c r="C13" s="3" t="n">
        <f aca="false">B13*B7</f>
        <v>230.13</v>
      </c>
      <c r="D13" s="4"/>
      <c r="E13" s="4"/>
      <c r="F13" s="4"/>
      <c r="G13" s="4"/>
      <c r="H13" s="4"/>
      <c r="I13" s="14"/>
    </row>
    <row r="14" customFormat="false" ht="17.25" hidden="false" customHeight="false" outlineLevel="0" collapsed="false">
      <c r="A14" s="2" t="s">
        <v>13</v>
      </c>
      <c r="B14" s="3" t="n">
        <f aca="false">2.5*2.7</f>
        <v>6.75</v>
      </c>
      <c r="C14" s="3" t="n">
        <f aca="false">B14*B6</f>
        <v>20.25</v>
      </c>
      <c r="D14" s="4"/>
      <c r="E14" s="4"/>
      <c r="F14" s="4"/>
      <c r="G14" s="4"/>
      <c r="H14" s="4"/>
      <c r="I14" s="14"/>
    </row>
    <row r="15" customFormat="false" ht="17.25" hidden="false" customHeight="false" outlineLevel="0" collapsed="false">
      <c r="A15" s="2" t="s">
        <v>14</v>
      </c>
      <c r="B15" s="3" t="n">
        <f aca="false">1*3.65</f>
        <v>3.65</v>
      </c>
      <c r="C15" s="3" t="n">
        <f aca="false">B15*B7</f>
        <v>10.95</v>
      </c>
      <c r="D15" s="4"/>
      <c r="E15" s="4"/>
      <c r="F15" s="4"/>
      <c r="G15" s="4"/>
      <c r="H15" s="4"/>
      <c r="I15" s="14"/>
    </row>
    <row r="16" customFormat="false" ht="17.25" hidden="false" customHeight="false" outlineLevel="0" collapsed="false">
      <c r="A16" s="2" t="s">
        <v>15</v>
      </c>
      <c r="B16" s="3" t="n">
        <f aca="false">107.25</f>
        <v>107.25</v>
      </c>
      <c r="C16" s="3" t="n">
        <f aca="false">2.5*5.675*9.5</f>
        <v>134.78125</v>
      </c>
      <c r="D16" s="4"/>
      <c r="E16" s="4"/>
      <c r="F16" s="4"/>
      <c r="G16" s="4"/>
      <c r="H16" s="4"/>
      <c r="I16" s="14"/>
    </row>
    <row r="17" customFormat="false" ht="17.25" hidden="false" customHeight="false" outlineLevel="0" collapsed="false">
      <c r="A17" s="2" t="s">
        <v>16</v>
      </c>
      <c r="B17" s="3" t="n">
        <f aca="false">B2-B12-B13-B14-B15-B16</f>
        <v>93.02</v>
      </c>
      <c r="C17" s="3" t="n">
        <f aca="false">B17*B5</f>
        <v>279.06</v>
      </c>
      <c r="D17" s="4"/>
      <c r="E17" s="4"/>
      <c r="F17" s="4"/>
      <c r="G17" s="4"/>
      <c r="H17" s="4"/>
      <c r="I17" s="1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14"/>
    </row>
    <row r="19" customFormat="false" ht="15" hidden="false" customHeight="false" outlineLevel="0" collapsed="false">
      <c r="A19" s="5" t="s">
        <v>17</v>
      </c>
      <c r="B19" s="4"/>
      <c r="C19" s="4"/>
      <c r="D19" s="4"/>
      <c r="E19" s="4"/>
      <c r="F19" s="4"/>
      <c r="G19" s="4"/>
      <c r="H19" s="4"/>
      <c r="I19" s="14"/>
    </row>
    <row r="20" customFormat="false" ht="15" hidden="false" customHeight="false" outlineLevel="0" collapsed="false">
      <c r="A20" s="9"/>
      <c r="B20" s="8" t="s">
        <v>18</v>
      </c>
      <c r="C20" s="8" t="s">
        <v>19</v>
      </c>
      <c r="D20" s="8" t="s">
        <v>20</v>
      </c>
      <c r="E20" s="8" t="s">
        <v>21</v>
      </c>
      <c r="F20" s="8" t="s">
        <v>22</v>
      </c>
      <c r="G20" s="8" t="s">
        <v>23</v>
      </c>
      <c r="H20" s="4"/>
      <c r="I20" s="14"/>
    </row>
    <row r="21" customFormat="false" ht="17.25" hidden="false" customHeight="true" outlineLevel="0" collapsed="false">
      <c r="A21" s="9" t="s">
        <v>24</v>
      </c>
      <c r="B21" s="3" t="n">
        <f aca="false">(2*4.6+3+4.6+9.5)*B5-B22</f>
        <v>54.56</v>
      </c>
      <c r="C21" s="3" t="n">
        <f aca="false">(4.6+9.5+2.5)*B7-C22</f>
        <v>32.66</v>
      </c>
      <c r="D21" s="3" t="n">
        <f aca="false">2.5*B6-D22</f>
        <v>3.73</v>
      </c>
      <c r="E21" s="10" t="n">
        <v>0</v>
      </c>
      <c r="F21" s="10" t="n">
        <v>0</v>
      </c>
      <c r="G21" s="3" t="n">
        <f aca="false">(4.9+1.9+2.4+2.4)*B5-G22-G25</f>
        <v>13.02</v>
      </c>
      <c r="H21" s="4" t="n">
        <f aca="false">SUM(B21:G21)</f>
        <v>103.97</v>
      </c>
      <c r="I21" s="14"/>
    </row>
    <row r="22" customFormat="false" ht="17.25" hidden="false" customHeight="false" outlineLevel="0" collapsed="false">
      <c r="A22" s="9" t="s">
        <v>25</v>
      </c>
      <c r="B22" s="3" t="n">
        <f aca="false">2*3.77+7*2.4</f>
        <v>24.34</v>
      </c>
      <c r="C22" s="3" t="n">
        <f aca="false">2*3.77+4*2.4</f>
        <v>17.14</v>
      </c>
      <c r="D22" s="3" t="n">
        <f aca="false">3.77</f>
        <v>3.77</v>
      </c>
      <c r="E22" s="10" t="n">
        <v>0</v>
      </c>
      <c r="F22" s="10" t="n">
        <v>0</v>
      </c>
      <c r="G22" s="3" t="n">
        <f aca="false">4*3.77+2.4</f>
        <v>17.48</v>
      </c>
      <c r="H22" s="4" t="n">
        <f aca="false">SUM(B22:G22)</f>
        <v>62.73</v>
      </c>
      <c r="I22" s="14"/>
    </row>
    <row r="23" customFormat="false" ht="17.25" hidden="false" customHeight="false" outlineLevel="0" collapsed="false">
      <c r="A23" s="9" t="s">
        <v>26</v>
      </c>
      <c r="B23" s="10" t="n">
        <v>0</v>
      </c>
      <c r="C23" s="10" t="n">
        <v>0</v>
      </c>
      <c r="D23" s="10" t="n">
        <v>0</v>
      </c>
      <c r="E23" s="10" t="n">
        <v>0</v>
      </c>
      <c r="F23" s="3" t="n">
        <f aca="false">(6.2*9.5)*2</f>
        <v>117.8</v>
      </c>
      <c r="G23" s="3" t="n">
        <v>0</v>
      </c>
      <c r="H23" s="4" t="n">
        <f aca="false">SUM(B21:G21)+SUM(B22:G22)+SUM(B23:G23)+SUM(B26:G26)+SUM(B25:G25)</f>
        <v>521.475</v>
      </c>
      <c r="I23" s="14"/>
    </row>
    <row r="24" customFormat="false" ht="17.25" hidden="false" customHeight="false" outlineLevel="0" collapsed="false">
      <c r="A24" s="9" t="s">
        <v>27</v>
      </c>
      <c r="B24" s="10" t="n">
        <v>52.21</v>
      </c>
      <c r="C24" s="10" t="n">
        <v>0</v>
      </c>
      <c r="D24" s="10" t="n">
        <v>0</v>
      </c>
      <c r="E24" s="10" t="n">
        <v>0</v>
      </c>
      <c r="F24" s="10" t="n">
        <v>0</v>
      </c>
      <c r="G24" s="10" t="n">
        <v>55.59</v>
      </c>
      <c r="H24" s="4"/>
      <c r="I24" s="14"/>
    </row>
    <row r="25" customFormat="false" ht="17.25" hidden="false" customHeight="false" outlineLevel="0" collapsed="false">
      <c r="A25" s="9" t="s">
        <v>28</v>
      </c>
      <c r="B25" s="18" t="n">
        <v>0</v>
      </c>
      <c r="C25" s="18" t="n">
        <v>0</v>
      </c>
      <c r="D25" s="18" t="n">
        <v>0</v>
      </c>
      <c r="E25" s="18" t="n">
        <v>0</v>
      </c>
      <c r="F25" s="18" t="n">
        <v>0</v>
      </c>
      <c r="G25" s="18" t="n">
        <v>4.3</v>
      </c>
      <c r="H25" s="4"/>
      <c r="I25" s="14"/>
    </row>
    <row r="26" customFormat="false" ht="17.25" hidden="false" customHeight="false" outlineLevel="0" collapsed="false">
      <c r="A26" s="9" t="s">
        <v>29</v>
      </c>
      <c r="B26" s="10" t="n">
        <f aca="false">2*11.35*B5+5*B5</f>
        <v>83.1</v>
      </c>
      <c r="C26" s="10" t="n">
        <f aca="false">11.35*B7+(5+2.7)*B7</f>
        <v>57.15</v>
      </c>
      <c r="D26" s="10" t="n">
        <f aca="false">2.7*B6</f>
        <v>8.1</v>
      </c>
      <c r="E26" s="10" t="n">
        <f aca="false">3.65*B7</f>
        <v>10.95</v>
      </c>
      <c r="F26" s="10" t="n">
        <f aca="false">(2.5*5.675)*2</f>
        <v>28.375</v>
      </c>
      <c r="G26" s="10" t="n">
        <f aca="false">11.35*B5+3.65*B7</f>
        <v>45</v>
      </c>
      <c r="H26" s="4" t="n">
        <f aca="false">SUM(B26:G26)</f>
        <v>232.675</v>
      </c>
      <c r="I26" s="14"/>
    </row>
    <row r="27" customFormat="false" ht="17.25" hidden="false" customHeight="true" outlineLevel="0" collapsed="false">
      <c r="A27" s="9" t="s">
        <v>30</v>
      </c>
      <c r="B27" s="19" t="n">
        <f aca="false">(6.35+3)*B5+(6.35+4.9)*B6</f>
        <v>61.8</v>
      </c>
      <c r="C27" s="19" t="n">
        <f aca="false">(6.35+4.9)*B7+(2.5+2.7)*B7</f>
        <v>49.35</v>
      </c>
      <c r="D27" s="20" t="n">
        <f aca="false">(2.5+2.7)*B6</f>
        <v>15.6</v>
      </c>
      <c r="E27" s="20" t="n">
        <f aca="false">(3.65+2*1)*B7</f>
        <v>16.95</v>
      </c>
      <c r="F27" s="20" t="n">
        <v>0</v>
      </c>
      <c r="G27" s="19" t="n">
        <f aca="false">(11.35+3)*B5+(6.35+4.9+2.5+2.7)*B6+(6.35+3.9+1.5+2.7)*B6</f>
        <v>135.75</v>
      </c>
      <c r="H27" s="4"/>
      <c r="I27" s="14"/>
    </row>
    <row r="28" customFormat="false" ht="15" hidden="false" customHeight="false" outlineLevel="0" collapsed="false">
      <c r="B28" s="11"/>
      <c r="E28" s="11"/>
      <c r="F28" s="11"/>
    </row>
    <row r="29" customFormat="false" ht="15" hidden="false" customHeight="false" outlineLevel="0" collapsed="false">
      <c r="B29" s="12"/>
      <c r="C29" s="12"/>
      <c r="D29" s="12"/>
      <c r="E29" s="12"/>
      <c r="F29" s="12"/>
      <c r="G29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421875" defaultRowHeight="15" zeroHeight="false" outlineLevelRow="0" outlineLevelCol="0"/>
  <cols>
    <col collapsed="false" customWidth="true" hidden="false" outlineLevel="0" max="1" min="1" style="0" width="22.42"/>
    <col collapsed="false" customWidth="true" hidden="false" outlineLevel="0" max="2" min="2" style="0" width="15.28"/>
    <col collapsed="false" customWidth="true" hidden="false" outlineLevel="0" max="3" min="3" style="0" width="12.7"/>
    <col collapsed="false" customWidth="true" hidden="false" outlineLevel="0" max="4" min="4" style="0" width="12.28"/>
    <col collapsed="false" customWidth="true" hidden="false" outlineLevel="0" max="5" min="5" style="0" width="11.7"/>
  </cols>
  <sheetData>
    <row r="1" customFormat="false" ht="15" hidden="false" customHeight="false" outlineLevel="0" collapsed="false">
      <c r="A1" s="1" t="s">
        <v>0</v>
      </c>
      <c r="B1" s="14"/>
      <c r="C1" s="14"/>
      <c r="D1" s="14"/>
      <c r="E1" s="14"/>
      <c r="F1" s="14"/>
      <c r="G1" s="14"/>
    </row>
    <row r="2" customFormat="false" ht="17.25" hidden="false" customHeight="false" outlineLevel="0" collapsed="false">
      <c r="A2" s="2" t="s">
        <v>1</v>
      </c>
      <c r="B2" s="3" t="n">
        <f aca="false">105+2*87.5+70</f>
        <v>350</v>
      </c>
      <c r="C2" s="4"/>
      <c r="D2" s="4"/>
      <c r="E2" s="4"/>
      <c r="F2" s="4"/>
      <c r="G2" s="4"/>
      <c r="H2" s="4"/>
      <c r="I2" s="14"/>
    </row>
    <row r="3" customFormat="false" ht="17.25" hidden="false" customHeight="false" outlineLevel="0" collapsed="false">
      <c r="A3" s="2" t="s">
        <v>2</v>
      </c>
      <c r="B3" s="3" t="n">
        <f aca="false">105</f>
        <v>105</v>
      </c>
      <c r="C3" s="4"/>
      <c r="D3" s="4"/>
      <c r="E3" s="4"/>
      <c r="F3" s="4"/>
      <c r="G3" s="4"/>
      <c r="H3" s="4"/>
      <c r="I3" s="14"/>
    </row>
    <row r="4" customFormat="false" ht="15" hidden="false" customHeight="false" outlineLevel="0" collapsed="false">
      <c r="A4" s="2" t="s">
        <v>3</v>
      </c>
      <c r="B4" s="3" t="n">
        <f aca="false">4</f>
        <v>4</v>
      </c>
      <c r="C4" s="4"/>
      <c r="D4" s="4"/>
      <c r="E4" s="4"/>
      <c r="F4" s="4"/>
      <c r="G4" s="4"/>
      <c r="H4" s="4"/>
      <c r="I4" s="14"/>
    </row>
    <row r="5" customFormat="false" ht="17.25" hidden="false" customHeight="false" outlineLevel="0" collapsed="false">
      <c r="A5" s="2" t="s">
        <v>4</v>
      </c>
      <c r="B5" s="3" t="n">
        <f aca="false">2.8</f>
        <v>2.8</v>
      </c>
      <c r="C5" s="4"/>
      <c r="D5" s="4"/>
      <c r="E5" s="4"/>
      <c r="F5" s="4"/>
      <c r="G5" s="4"/>
      <c r="H5" s="4"/>
      <c r="I5" s="14"/>
    </row>
    <row r="6" customFormat="false" ht="17.25" hidden="false" customHeight="false" outlineLevel="0" collapsed="false">
      <c r="A6" s="2" t="s">
        <v>5</v>
      </c>
      <c r="B6" s="3" t="n">
        <f aca="false">2.8</f>
        <v>2.8</v>
      </c>
      <c r="C6" s="4"/>
      <c r="D6" s="4"/>
      <c r="E6" s="4"/>
      <c r="F6" s="4"/>
      <c r="G6" s="4"/>
      <c r="H6" s="4"/>
      <c r="I6" s="14"/>
    </row>
    <row r="7" customFormat="false" ht="17.25" hidden="false" customHeight="false" outlineLevel="0" collapsed="false">
      <c r="A7" s="2" t="s">
        <v>6</v>
      </c>
      <c r="B7" s="3" t="n">
        <f aca="false">2.8</f>
        <v>2.8</v>
      </c>
      <c r="C7" s="4"/>
      <c r="D7" s="4"/>
      <c r="E7" s="4"/>
      <c r="F7" s="4"/>
      <c r="G7" s="4"/>
      <c r="H7" s="4"/>
      <c r="I7" s="14"/>
    </row>
    <row r="8" customFormat="false" ht="17.25" hidden="false" customHeight="false" outlineLevel="0" collapsed="false">
      <c r="A8" s="2" t="s">
        <v>7</v>
      </c>
      <c r="B8" s="3" t="n">
        <f aca="false">2.8</f>
        <v>2.8</v>
      </c>
      <c r="C8" s="4"/>
      <c r="D8" s="4"/>
      <c r="E8" s="4"/>
      <c r="F8" s="4"/>
      <c r="G8" s="4"/>
      <c r="H8" s="4"/>
      <c r="I8" s="1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14"/>
    </row>
    <row r="10" customFormat="false" ht="15" hidden="false" customHeight="false" outlineLevel="0" collapsed="false">
      <c r="A10" s="5" t="s">
        <v>8</v>
      </c>
      <c r="B10" s="4"/>
      <c r="C10" s="4"/>
      <c r="D10" s="4"/>
      <c r="E10" s="4"/>
      <c r="F10" s="4"/>
      <c r="G10" s="4"/>
      <c r="H10" s="4"/>
      <c r="I10" s="14"/>
    </row>
    <row r="11" customFormat="false" ht="16.5" hidden="false" customHeight="false" outlineLevel="0" collapsed="false">
      <c r="A11" s="6"/>
      <c r="B11" s="2" t="s">
        <v>9</v>
      </c>
      <c r="C11" s="2" t="s">
        <v>10</v>
      </c>
      <c r="D11" s="4"/>
      <c r="E11" s="4"/>
      <c r="F11" s="4"/>
      <c r="G11" s="4"/>
      <c r="H11" s="4"/>
      <c r="I11" s="14"/>
    </row>
    <row r="12" customFormat="false" ht="17.25" hidden="false" customHeight="false" outlineLevel="0" collapsed="false">
      <c r="A12" s="2" t="s">
        <v>11</v>
      </c>
      <c r="B12" s="3" t="n">
        <f aca="false">35+24+37.5</f>
        <v>96.5</v>
      </c>
      <c r="C12" s="3" t="n">
        <f aca="false">B12*B$5</f>
        <v>270.2</v>
      </c>
      <c r="D12" s="4"/>
      <c r="E12" s="4"/>
      <c r="F12" s="4"/>
      <c r="G12" s="4"/>
      <c r="H12" s="4"/>
      <c r="I12" s="14"/>
    </row>
    <row r="13" customFormat="false" ht="17.25" hidden="false" customHeight="false" outlineLevel="0" collapsed="false">
      <c r="A13" s="2" t="s">
        <v>12</v>
      </c>
      <c r="B13" s="3" t="n">
        <f aca="false">24.5+35+24</f>
        <v>83.5</v>
      </c>
      <c r="C13" s="3" t="n">
        <f aca="false">B13*B$5</f>
        <v>233.8</v>
      </c>
      <c r="D13" s="4"/>
      <c r="E13" s="4"/>
      <c r="F13" s="4"/>
      <c r="G13" s="4"/>
      <c r="H13" s="4"/>
      <c r="I13" s="14"/>
    </row>
    <row r="14" customFormat="false" ht="17.25" hidden="false" customHeight="false" outlineLevel="0" collapsed="false">
      <c r="A14" s="2" t="s">
        <v>13</v>
      </c>
      <c r="B14" s="3" t="n">
        <f aca="false">24.5</f>
        <v>24.5</v>
      </c>
      <c r="C14" s="3" t="n">
        <f aca="false">B14*B$5</f>
        <v>68.6</v>
      </c>
      <c r="D14" s="4"/>
      <c r="E14" s="4"/>
      <c r="F14" s="4"/>
      <c r="G14" s="4"/>
      <c r="H14" s="4"/>
      <c r="I14" s="14"/>
    </row>
    <row r="15" customFormat="false" ht="17.25" hidden="false" customHeight="false" outlineLevel="0" collapsed="false">
      <c r="A15" s="2" t="s">
        <v>14</v>
      </c>
      <c r="B15" s="3" t="n">
        <f aca="false">7+17.5</f>
        <v>24.5</v>
      </c>
      <c r="C15" s="3" t="n">
        <f aca="false">B15*B$5</f>
        <v>68.6</v>
      </c>
      <c r="D15" s="4"/>
      <c r="E15" s="4"/>
      <c r="F15" s="4"/>
      <c r="G15" s="4"/>
      <c r="H15" s="4"/>
      <c r="I15" s="14"/>
    </row>
    <row r="16" customFormat="false" ht="17.25" hidden="false" customHeight="false" outlineLevel="0" collapsed="false">
      <c r="A16" s="2" t="s">
        <v>15</v>
      </c>
      <c r="B16" s="3" t="n">
        <f aca="false">17.5+7+7.5+45</f>
        <v>77</v>
      </c>
      <c r="C16" s="3" t="n">
        <f aca="false">B16*B$5</f>
        <v>215.6</v>
      </c>
      <c r="D16" s="4"/>
      <c r="E16" s="4"/>
      <c r="F16" s="4"/>
      <c r="G16" s="4"/>
      <c r="H16" s="4"/>
      <c r="I16" s="14"/>
    </row>
    <row r="17" customFormat="false" ht="17.25" hidden="false" customHeight="false" outlineLevel="0" collapsed="false">
      <c r="A17" s="2" t="s">
        <v>16</v>
      </c>
      <c r="B17" s="3" t="n">
        <f aca="false">B2-B12-B13-B14-B15-B16</f>
        <v>44</v>
      </c>
      <c r="C17" s="3" t="n">
        <f aca="false">B17*B$5</f>
        <v>123.2</v>
      </c>
      <c r="D17" s="4"/>
      <c r="E17" s="4"/>
      <c r="F17" s="4"/>
      <c r="G17" s="4"/>
      <c r="H17" s="4"/>
      <c r="I17" s="1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14"/>
    </row>
    <row r="19" customFormat="false" ht="15" hidden="false" customHeight="false" outlineLevel="0" collapsed="false">
      <c r="A19" s="5" t="s">
        <v>17</v>
      </c>
      <c r="B19" s="4"/>
      <c r="C19" s="4"/>
      <c r="D19" s="4"/>
      <c r="E19" s="4"/>
      <c r="F19" s="4"/>
      <c r="G19" s="4"/>
      <c r="H19" s="4"/>
      <c r="I19" s="14"/>
    </row>
    <row r="20" customFormat="false" ht="15" hidden="false" customHeight="false" outlineLevel="0" collapsed="false">
      <c r="A20" s="9"/>
      <c r="B20" s="8" t="s">
        <v>18</v>
      </c>
      <c r="C20" s="8" t="s">
        <v>19</v>
      </c>
      <c r="D20" s="8" t="s">
        <v>20</v>
      </c>
      <c r="E20" s="8" t="s">
        <v>21</v>
      </c>
      <c r="F20" s="8" t="s">
        <v>22</v>
      </c>
      <c r="G20" s="8" t="s">
        <v>23</v>
      </c>
      <c r="H20" s="4"/>
      <c r="I20" s="14"/>
    </row>
    <row r="21" customFormat="false" ht="17.25" hidden="false" customHeight="true" outlineLevel="0" collapsed="false">
      <c r="A21" s="9" t="s">
        <v>24</v>
      </c>
      <c r="B21" s="17" t="n">
        <f aca="false">14*B5-B22</f>
        <v>30.7</v>
      </c>
      <c r="C21" s="17" t="n">
        <f aca="false">14*B5-C22</f>
        <v>22.2</v>
      </c>
      <c r="D21" s="17" t="n">
        <f aca="false">7*B5-D22</f>
        <v>10.1</v>
      </c>
      <c r="E21" s="17" t="n">
        <f aca="false">5*B5-E22</f>
        <v>12</v>
      </c>
      <c r="F21" s="17" t="n">
        <f aca="false">(7+4.5+2)*B5-F22</f>
        <v>32.8</v>
      </c>
      <c r="G21" s="17" t="n">
        <f aca="false">(2.5)*B5-G25</f>
        <v>4.85</v>
      </c>
      <c r="H21" s="4"/>
      <c r="I21" s="14"/>
    </row>
    <row r="22" customFormat="false" ht="17.25" hidden="false" customHeight="false" outlineLevel="0" collapsed="false">
      <c r="A22" s="9" t="s">
        <v>25</v>
      </c>
      <c r="B22" s="17" t="n">
        <v>8.5</v>
      </c>
      <c r="C22" s="17" t="n">
        <v>17</v>
      </c>
      <c r="D22" s="17" t="n">
        <v>9.5</v>
      </c>
      <c r="E22" s="17" t="n">
        <v>2</v>
      </c>
      <c r="F22" s="17" t="n">
        <v>5</v>
      </c>
      <c r="G22" s="17" t="n">
        <v>0</v>
      </c>
      <c r="H22" s="4" t="n">
        <f aca="false">SUM(B22:G22)</f>
        <v>42</v>
      </c>
      <c r="I22" s="14"/>
    </row>
    <row r="23" customFormat="false" ht="17.25" hidden="false" customHeight="false" outlineLevel="0" collapsed="false">
      <c r="A23" s="9" t="s">
        <v>26</v>
      </c>
      <c r="B23" s="17" t="n">
        <v>0</v>
      </c>
      <c r="C23" s="17" t="n">
        <f aca="false">24+7*2.5</f>
        <v>41.5</v>
      </c>
      <c r="D23" s="17" t="n">
        <v>0</v>
      </c>
      <c r="E23" s="17" t="n">
        <v>17.5</v>
      </c>
      <c r="F23" s="17" t="n">
        <f aca="false">24.5+17.5</f>
        <v>42</v>
      </c>
      <c r="G23" s="17" t="n">
        <v>4</v>
      </c>
      <c r="H23" s="4" t="n">
        <f aca="false">SUM(B21:G21)+SUM(B22:G22)+SUM(B23:G23)+SUM(B26:G26)+SUM(B25:G25)</f>
        <v>541.8</v>
      </c>
      <c r="I23" s="14"/>
    </row>
    <row r="24" customFormat="false" ht="17.25" hidden="false" customHeight="false" outlineLevel="0" collapsed="false">
      <c r="A24" s="9" t="s">
        <v>27</v>
      </c>
      <c r="B24" s="17" t="n">
        <v>37.5</v>
      </c>
      <c r="C24" s="17" t="n">
        <v>0</v>
      </c>
      <c r="D24" s="17" t="n">
        <v>0</v>
      </c>
      <c r="E24" s="17" t="n">
        <v>0</v>
      </c>
      <c r="F24" s="17" t="n">
        <v>45</v>
      </c>
      <c r="G24" s="17" t="n">
        <f aca="false">9*2.5</f>
        <v>22.5</v>
      </c>
      <c r="H24" s="4"/>
      <c r="I24" s="14"/>
    </row>
    <row r="25" customFormat="false" ht="17.25" hidden="false" customHeight="false" outlineLevel="0" collapsed="false">
      <c r="A25" s="9" t="s">
        <v>28</v>
      </c>
      <c r="B25" s="17" t="n">
        <v>0</v>
      </c>
      <c r="C25" s="17" t="n">
        <v>0</v>
      </c>
      <c r="D25" s="17" t="n">
        <v>0</v>
      </c>
      <c r="E25" s="17" t="n">
        <v>0</v>
      </c>
      <c r="F25" s="17" t="n">
        <v>0</v>
      </c>
      <c r="G25" s="17" t="n">
        <v>2.15</v>
      </c>
      <c r="H25" s="4"/>
      <c r="I25" s="14"/>
    </row>
    <row r="26" customFormat="false" ht="17.25" hidden="false" customHeight="false" outlineLevel="0" collapsed="false">
      <c r="A26" s="9" t="s">
        <v>29</v>
      </c>
      <c r="B26" s="17" t="n">
        <f aca="false">(6+5+5+9)*B5</f>
        <v>70</v>
      </c>
      <c r="C26" s="17" t="n">
        <f aca="false">(10+7+4)*B5</f>
        <v>58.8</v>
      </c>
      <c r="D26" s="17" t="n">
        <f aca="false">7*B5</f>
        <v>19.6</v>
      </c>
      <c r="E26" s="17" t="n">
        <f aca="false">5.5*B5</f>
        <v>15.4</v>
      </c>
      <c r="F26" s="17" t="n">
        <f aca="false">(3.5+5+10)*B5</f>
        <v>51.8</v>
      </c>
      <c r="G26" s="17" t="n">
        <f aca="false">(9+3*4+2)*B5</f>
        <v>64.4</v>
      </c>
      <c r="H26" s="4"/>
      <c r="I26" s="14"/>
    </row>
    <row r="27" customFormat="false" ht="17.25" hidden="false" customHeight="true" outlineLevel="0" collapsed="false">
      <c r="A27" s="9" t="s">
        <v>30</v>
      </c>
      <c r="B27" s="17" t="n">
        <f aca="false">(4.5+1+2.5+6+4+1)*B5</f>
        <v>53.2</v>
      </c>
      <c r="C27" s="17" t="n">
        <f aca="false">(14+12+4)*B5</f>
        <v>84</v>
      </c>
      <c r="D27" s="17" t="n">
        <f aca="false">7*B5</f>
        <v>19.6</v>
      </c>
      <c r="E27" s="17" t="n">
        <f aca="false">(2+7+5+3.5)*B5</f>
        <v>49</v>
      </c>
      <c r="F27" s="17" t="n">
        <f aca="false">(10+4.5+7+2)*B5</f>
        <v>65.8</v>
      </c>
      <c r="G27" s="17" t="n">
        <f aca="false">(9+2.5+4+2+14+2+7+4+2)*B5</f>
        <v>130.2</v>
      </c>
      <c r="H27" s="4"/>
      <c r="I27" s="14"/>
    </row>
    <row r="28" customFormat="false" ht="15" hidden="false" customHeight="false" outlineLevel="0" collapsed="false">
      <c r="B28" s="11"/>
      <c r="E28" s="11"/>
      <c r="F28" s="11"/>
      <c r="G28" s="11"/>
    </row>
    <row r="29" customFormat="false" ht="15" hidden="false" customHeight="false" outlineLevel="0" collapsed="false">
      <c r="B29" s="12"/>
      <c r="C29" s="12"/>
      <c r="D29" s="12"/>
      <c r="E29" s="12"/>
      <c r="F29" s="12"/>
      <c r="G29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421875" defaultRowHeight="15" zeroHeight="false" outlineLevelRow="0" outlineLevelCol="0"/>
  <cols>
    <col collapsed="false" customWidth="true" hidden="false" outlineLevel="0" max="1" min="1" style="0" width="22.42"/>
    <col collapsed="false" customWidth="true" hidden="false" outlineLevel="0" max="2" min="2" style="0" width="15.28"/>
    <col collapsed="false" customWidth="true" hidden="false" outlineLevel="0" max="3" min="3" style="0" width="12.7"/>
    <col collapsed="false" customWidth="true" hidden="false" outlineLevel="0" max="4" min="4" style="0" width="12.28"/>
    <col collapsed="false" customWidth="true" hidden="false" outlineLevel="0" max="5" min="5" style="0" width="11.7"/>
  </cols>
  <sheetData>
    <row r="1" customFormat="false" ht="15" hidden="false" customHeight="false" outlineLevel="0" collapsed="false">
      <c r="A1" s="1" t="s">
        <v>0</v>
      </c>
    </row>
    <row r="2" customFormat="false" ht="17.25" hidden="false" customHeight="false" outlineLevel="0" collapsed="false">
      <c r="A2" s="2" t="s">
        <v>1</v>
      </c>
      <c r="B2" s="3" t="n">
        <f aca="false">78.88+63.75*2</f>
        <v>206.38</v>
      </c>
      <c r="C2" s="4"/>
      <c r="D2" s="4"/>
      <c r="E2" s="4"/>
      <c r="F2" s="4"/>
      <c r="G2" s="4"/>
      <c r="H2" s="4"/>
      <c r="I2" s="14"/>
    </row>
    <row r="3" customFormat="false" ht="17.25" hidden="false" customHeight="false" outlineLevel="0" collapsed="false">
      <c r="A3" s="2" t="s">
        <v>2</v>
      </c>
      <c r="B3" s="3" t="n">
        <f aca="false">78.88</f>
        <v>78.88</v>
      </c>
      <c r="C3" s="4"/>
      <c r="D3" s="4"/>
      <c r="E3" s="4"/>
      <c r="F3" s="4"/>
      <c r="G3" s="4"/>
      <c r="H3" s="4"/>
      <c r="I3" s="14"/>
    </row>
    <row r="4" customFormat="false" ht="15" hidden="false" customHeight="false" outlineLevel="0" collapsed="false">
      <c r="A4" s="2" t="s">
        <v>3</v>
      </c>
      <c r="B4" s="3" t="n">
        <v>3</v>
      </c>
      <c r="C4" s="4"/>
      <c r="D4" s="4"/>
      <c r="E4" s="4"/>
      <c r="F4" s="4"/>
      <c r="G4" s="4"/>
      <c r="H4" s="4"/>
      <c r="I4" s="14"/>
    </row>
    <row r="5" customFormat="false" ht="17.25" hidden="false" customHeight="false" outlineLevel="0" collapsed="false">
      <c r="A5" s="2" t="s">
        <v>4</v>
      </c>
      <c r="B5" s="3" t="n">
        <v>2.8</v>
      </c>
      <c r="C5" s="4"/>
      <c r="D5" s="4"/>
      <c r="E5" s="4"/>
      <c r="F5" s="4"/>
      <c r="G5" s="4"/>
      <c r="H5" s="4"/>
      <c r="I5" s="14"/>
    </row>
    <row r="6" customFormat="false" ht="17.25" hidden="false" customHeight="false" outlineLevel="0" collapsed="false">
      <c r="A6" s="2" t="s">
        <v>5</v>
      </c>
      <c r="B6" s="3" t="n">
        <v>2.8</v>
      </c>
      <c r="C6" s="4"/>
      <c r="D6" s="4"/>
      <c r="E6" s="4"/>
      <c r="F6" s="4"/>
      <c r="G6" s="4"/>
      <c r="H6" s="4"/>
      <c r="I6" s="14"/>
    </row>
    <row r="7" customFormat="false" ht="17.25" hidden="false" customHeight="false" outlineLevel="0" collapsed="false">
      <c r="A7" s="2" t="s">
        <v>6</v>
      </c>
      <c r="B7" s="3" t="n">
        <v>3</v>
      </c>
      <c r="C7" s="4"/>
      <c r="D7" s="4"/>
      <c r="E7" s="4"/>
      <c r="F7" s="4"/>
      <c r="G7" s="4"/>
      <c r="H7" s="4"/>
      <c r="I7" s="14"/>
    </row>
    <row r="8" customFormat="false" ht="17.25" hidden="false" customHeight="false" outlineLevel="0" collapsed="false">
      <c r="A8" s="2" t="s">
        <v>7</v>
      </c>
      <c r="B8" s="3" t="n">
        <v>0</v>
      </c>
      <c r="C8" s="4"/>
      <c r="D8" s="4"/>
      <c r="E8" s="4"/>
      <c r="F8" s="4"/>
      <c r="G8" s="4"/>
      <c r="H8" s="4"/>
      <c r="I8" s="1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14"/>
    </row>
    <row r="10" customFormat="false" ht="15" hidden="false" customHeight="false" outlineLevel="0" collapsed="false">
      <c r="A10" s="5" t="s">
        <v>8</v>
      </c>
      <c r="B10" s="4"/>
      <c r="C10" s="4"/>
      <c r="D10" s="4"/>
      <c r="E10" s="4"/>
      <c r="F10" s="4"/>
      <c r="G10" s="4"/>
      <c r="H10" s="4"/>
      <c r="I10" s="14"/>
    </row>
    <row r="11" customFormat="false" ht="16.5" hidden="false" customHeight="false" outlineLevel="0" collapsed="false">
      <c r="A11" s="6"/>
      <c r="B11" s="15" t="s">
        <v>9</v>
      </c>
      <c r="C11" s="15" t="s">
        <v>10</v>
      </c>
      <c r="D11" s="4"/>
      <c r="E11" s="4"/>
      <c r="F11" s="4"/>
      <c r="G11" s="4"/>
      <c r="H11" s="4"/>
      <c r="I11" s="14"/>
    </row>
    <row r="12" customFormat="false" ht="17.25" hidden="false" customHeight="false" outlineLevel="0" collapsed="false">
      <c r="A12" s="2" t="s">
        <v>11</v>
      </c>
      <c r="B12" s="3" t="n">
        <v>24</v>
      </c>
      <c r="C12" s="10" t="n">
        <f aca="false">24*B5</f>
        <v>67.2</v>
      </c>
      <c r="D12" s="4"/>
      <c r="E12" s="4"/>
      <c r="F12" s="4"/>
      <c r="G12" s="4"/>
      <c r="H12" s="4"/>
      <c r="I12" s="14"/>
    </row>
    <row r="13" customFormat="false" ht="17.25" hidden="false" customHeight="false" outlineLevel="0" collapsed="false">
      <c r="A13" s="2" t="s">
        <v>12</v>
      </c>
      <c r="B13" s="3" t="n">
        <f aca="false">24+15.9</f>
        <v>39.9</v>
      </c>
      <c r="C13" s="10" t="n">
        <f aca="false">39.9*B5</f>
        <v>111.72</v>
      </c>
      <c r="D13" s="4"/>
      <c r="E13" s="4"/>
      <c r="F13" s="4"/>
      <c r="G13" s="4"/>
      <c r="H13" s="4"/>
      <c r="I13" s="14"/>
    </row>
    <row r="14" customFormat="false" ht="17.25" hidden="false" customHeight="false" outlineLevel="0" collapsed="false">
      <c r="A14" s="2" t="s">
        <v>13</v>
      </c>
      <c r="B14" s="3" t="n">
        <f aca="false">20.38</f>
        <v>20.38</v>
      </c>
      <c r="C14" s="10" t="n">
        <f aca="false">20.38*B5</f>
        <v>57.064</v>
      </c>
      <c r="D14" s="4"/>
      <c r="E14" s="4"/>
      <c r="F14" s="4"/>
      <c r="G14" s="4"/>
      <c r="H14" s="4"/>
      <c r="I14" s="14"/>
    </row>
    <row r="15" customFormat="false" ht="17.25" hidden="false" customHeight="false" outlineLevel="0" collapsed="false">
      <c r="A15" s="2" t="s">
        <v>14</v>
      </c>
      <c r="B15" s="3" t="n">
        <f aca="false">7</f>
        <v>7</v>
      </c>
      <c r="C15" s="10" t="n">
        <f aca="false">7*B5</f>
        <v>19.6</v>
      </c>
      <c r="D15" s="4"/>
      <c r="E15" s="4"/>
      <c r="F15" s="4"/>
      <c r="G15" s="4"/>
      <c r="H15" s="4"/>
      <c r="I15" s="14"/>
    </row>
    <row r="16" customFormat="false" ht="17.25" hidden="false" customHeight="false" outlineLevel="0" collapsed="false">
      <c r="A16" s="2" t="s">
        <v>15</v>
      </c>
      <c r="B16" s="3" t="n">
        <f aca="false">63.8+6.25+26</f>
        <v>96.05</v>
      </c>
      <c r="C16" s="3" t="n">
        <f aca="false">(6.25+26)*B5+63.8*0.5+2.5*4.25*7.5</f>
        <v>201.8875</v>
      </c>
      <c r="D16" s="4"/>
      <c r="E16" s="4"/>
      <c r="F16" s="4"/>
      <c r="G16" s="4"/>
      <c r="H16" s="4"/>
      <c r="I16" s="14"/>
    </row>
    <row r="17" customFormat="false" ht="17.25" hidden="false" customHeight="false" outlineLevel="0" collapsed="false">
      <c r="A17" s="2" t="s">
        <v>16</v>
      </c>
      <c r="B17" s="3" t="n">
        <f aca="false">19.05</f>
        <v>19.05</v>
      </c>
      <c r="C17" s="3" t="n">
        <f aca="false">19.05*B5</f>
        <v>53.34</v>
      </c>
      <c r="D17" s="4"/>
      <c r="E17" s="4"/>
      <c r="F17" s="4"/>
      <c r="G17" s="4"/>
      <c r="H17" s="4"/>
      <c r="I17" s="1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14"/>
    </row>
    <row r="19" customFormat="false" ht="15" hidden="false" customHeight="false" outlineLevel="0" collapsed="false">
      <c r="A19" s="5" t="s">
        <v>17</v>
      </c>
      <c r="B19" s="4"/>
      <c r="C19" s="4"/>
      <c r="D19" s="4"/>
      <c r="E19" s="4"/>
      <c r="F19" s="4"/>
      <c r="G19" s="4"/>
      <c r="H19" s="4"/>
      <c r="I19" s="14"/>
    </row>
    <row r="20" customFormat="false" ht="15" hidden="false" customHeight="false" outlineLevel="0" collapsed="false">
      <c r="A20" s="9"/>
      <c r="B20" s="8" t="s">
        <v>18</v>
      </c>
      <c r="C20" s="8" t="s">
        <v>19</v>
      </c>
      <c r="D20" s="8" t="s">
        <v>20</v>
      </c>
      <c r="E20" s="8" t="s">
        <v>21</v>
      </c>
      <c r="F20" s="8" t="s">
        <v>22</v>
      </c>
      <c r="G20" s="8" t="s">
        <v>23</v>
      </c>
      <c r="H20" s="4"/>
      <c r="I20" s="14"/>
    </row>
    <row r="21" customFormat="false" ht="17.25" hidden="false" customHeight="true" outlineLevel="0" collapsed="false">
      <c r="A21" s="9" t="s">
        <v>24</v>
      </c>
      <c r="B21" s="10" t="n">
        <v>0</v>
      </c>
      <c r="C21" s="10" t="n">
        <f aca="false">(7.5+3)*B5-C22</f>
        <v>22.9</v>
      </c>
      <c r="D21" s="10" t="n">
        <f aca="false">(7.5)*B5-D22</f>
        <v>15</v>
      </c>
      <c r="E21" s="10" t="n">
        <f aca="false">(2.5)*B5-E22</f>
        <v>4.75</v>
      </c>
      <c r="F21" s="10" t="n">
        <f aca="false">3.5*B5+(15*0.5)-F22-F25</f>
        <v>11.925</v>
      </c>
      <c r="G21" s="10" t="n">
        <f aca="false">(2+4)*B5-G22-G25</f>
        <v>11.4</v>
      </c>
      <c r="H21" s="4"/>
      <c r="I21" s="14"/>
    </row>
    <row r="22" customFormat="false" ht="17.25" hidden="false" customHeight="false" outlineLevel="0" collapsed="false">
      <c r="A22" s="9" t="s">
        <v>25</v>
      </c>
      <c r="B22" s="10" t="n">
        <v>0</v>
      </c>
      <c r="C22" s="10" t="n">
        <v>6.5</v>
      </c>
      <c r="D22" s="10" t="n">
        <v>6</v>
      </c>
      <c r="E22" s="10" t="n">
        <v>2.25</v>
      </c>
      <c r="F22" s="10" t="n">
        <v>0</v>
      </c>
      <c r="G22" s="10" t="n">
        <v>3.25</v>
      </c>
      <c r="H22" s="4" t="n">
        <f aca="false">SUM(B22:G22)</f>
        <v>18</v>
      </c>
      <c r="I22" s="14"/>
    </row>
    <row r="23" customFormat="false" ht="17.25" hidden="false" customHeight="false" outlineLevel="0" collapsed="false">
      <c r="A23" s="9" t="s">
        <v>26</v>
      </c>
      <c r="B23" s="10" t="n">
        <v>0</v>
      </c>
      <c r="C23" s="10" t="n">
        <v>0</v>
      </c>
      <c r="D23" s="10" t="n">
        <v>16.12</v>
      </c>
      <c r="E23" s="10" t="n">
        <v>0</v>
      </c>
      <c r="F23" s="10" t="n">
        <f aca="false">2*4.93*7.5</f>
        <v>73.95</v>
      </c>
      <c r="G23" s="10" t="n">
        <v>0</v>
      </c>
      <c r="H23" s="4" t="n">
        <f aca="false">SUM(B21:G21)+SUM(B22:G22)+SUM(B23:G23)+SUM(B26:G26)+SUM(B25:G25)</f>
        <v>320.548</v>
      </c>
      <c r="I23" s="14"/>
    </row>
    <row r="24" customFormat="false" ht="17.25" hidden="false" customHeight="false" outlineLevel="0" collapsed="false">
      <c r="A24" s="9" t="s">
        <v>27</v>
      </c>
      <c r="B24" s="10" t="n">
        <v>24</v>
      </c>
      <c r="C24" s="10" t="n">
        <v>0</v>
      </c>
      <c r="D24" s="10" t="n">
        <v>20.38</v>
      </c>
      <c r="E24" s="10" t="n">
        <v>0</v>
      </c>
      <c r="F24" s="10" t="n">
        <v>26</v>
      </c>
      <c r="G24" s="10" t="n">
        <v>8.44</v>
      </c>
      <c r="H24" s="4"/>
      <c r="I24" s="14"/>
    </row>
    <row r="25" customFormat="false" ht="17.25" hidden="false" customHeight="false" outlineLevel="0" collapsed="false">
      <c r="A25" s="9" t="s">
        <v>28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5.375</v>
      </c>
      <c r="G25" s="10" t="n">
        <v>2.15</v>
      </c>
      <c r="H25" s="4"/>
      <c r="I25" s="14"/>
    </row>
    <row r="26" customFormat="false" ht="17.25" hidden="false" customHeight="false" outlineLevel="0" collapsed="false">
      <c r="A26" s="9" t="s">
        <v>29</v>
      </c>
      <c r="B26" s="10" t="n">
        <f aca="false">6*B5</f>
        <v>16.8</v>
      </c>
      <c r="C26" s="10" t="n">
        <f aca="false">(8.5+3.2)*B5</f>
        <v>32.76</v>
      </c>
      <c r="D26" s="10" t="n">
        <f aca="false">2*3.25*B5</f>
        <v>18.2</v>
      </c>
      <c r="E26" s="10" t="n">
        <f aca="false">2.8*B5</f>
        <v>7.84</v>
      </c>
      <c r="F26" s="10" t="n">
        <f aca="false">(2.5+4.9+2.5)*B5+(8.5*2*0.5)+4.25*2.5*2</f>
        <v>57.47</v>
      </c>
      <c r="G26" s="10" t="n">
        <f aca="false">2.11*B5</f>
        <v>5.908</v>
      </c>
      <c r="H26" s="4"/>
      <c r="I26" s="14"/>
    </row>
    <row r="27" customFormat="false" ht="17.25" hidden="false" customHeight="true" outlineLevel="0" collapsed="false">
      <c r="A27" s="9" t="s">
        <v>30</v>
      </c>
      <c r="B27" s="10" t="n">
        <f aca="false">(6+4)*B5</f>
        <v>28</v>
      </c>
      <c r="C27" s="10" t="n">
        <f aca="false">(7.5+5.3)*B5</f>
        <v>35.84</v>
      </c>
      <c r="D27" s="10" t="n">
        <f aca="false">3.25*B5</f>
        <v>9.1</v>
      </c>
      <c r="E27" s="10" t="n">
        <f aca="false">(2.8+2.5)*B5</f>
        <v>14.84</v>
      </c>
      <c r="F27" s="10" t="n">
        <f aca="false">(7.4+3.5+7.5)*B5</f>
        <v>51.52</v>
      </c>
      <c r="G27" s="10" t="n">
        <f aca="false">(4+2.11+2+5.3)*B5</f>
        <v>37.548</v>
      </c>
      <c r="H27" s="4"/>
      <c r="I27" s="14"/>
    </row>
    <row r="28" customFormat="false" ht="15" hidden="false" customHeight="false" outlineLevel="0" collapsed="false">
      <c r="B28" s="11"/>
      <c r="E28" s="11"/>
      <c r="F28" s="11"/>
      <c r="G28" s="11"/>
    </row>
    <row r="29" customFormat="false" ht="15" hidden="false" customHeight="false" outlineLevel="0" collapsed="false">
      <c r="B29" s="12"/>
      <c r="C29" s="12"/>
      <c r="D29" s="12"/>
      <c r="E29" s="12"/>
      <c r="F29" s="12"/>
      <c r="G29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421875" defaultRowHeight="15" zeroHeight="false" outlineLevelRow="0" outlineLevelCol="0"/>
  <cols>
    <col collapsed="false" customWidth="true" hidden="false" outlineLevel="0" max="1" min="1" style="0" width="22.42"/>
    <col collapsed="false" customWidth="true" hidden="false" outlineLevel="0" max="2" min="2" style="0" width="15.28"/>
    <col collapsed="false" customWidth="true" hidden="false" outlineLevel="0" max="3" min="3" style="0" width="12.7"/>
    <col collapsed="false" customWidth="true" hidden="false" outlineLevel="0" max="4" min="4" style="0" width="12.28"/>
    <col collapsed="false" customWidth="true" hidden="false" outlineLevel="0" max="5" min="5" style="0" width="11.7"/>
  </cols>
  <sheetData>
    <row r="1" customFormat="false" ht="15" hidden="false" customHeight="false" outlineLevel="0" collapsed="false">
      <c r="A1" s="1" t="s">
        <v>0</v>
      </c>
    </row>
    <row r="2" customFormat="false" ht="17.25" hidden="false" customHeight="false" outlineLevel="0" collapsed="false">
      <c r="A2" s="2" t="s">
        <v>1</v>
      </c>
      <c r="B2" s="3" t="n">
        <f aca="false">6.75*14.38</f>
        <v>97.065</v>
      </c>
      <c r="C2" s="4"/>
      <c r="D2" s="4"/>
      <c r="E2" s="4"/>
      <c r="F2" s="4"/>
      <c r="G2" s="4"/>
      <c r="H2" s="4"/>
      <c r="I2" s="14"/>
    </row>
    <row r="3" customFormat="false" ht="17.25" hidden="false" customHeight="false" outlineLevel="0" collapsed="false">
      <c r="A3" s="2" t="s">
        <v>2</v>
      </c>
      <c r="B3" s="3" t="n">
        <f aca="false">6.75*14.38</f>
        <v>97.065</v>
      </c>
      <c r="C3" s="4"/>
      <c r="D3" s="4"/>
      <c r="E3" s="4"/>
      <c r="F3" s="4"/>
      <c r="G3" s="4"/>
      <c r="H3" s="4"/>
      <c r="I3" s="14"/>
    </row>
    <row r="4" customFormat="false" ht="15" hidden="false" customHeight="false" outlineLevel="0" collapsed="false">
      <c r="A4" s="2" t="s">
        <v>3</v>
      </c>
      <c r="B4" s="3" t="n">
        <v>1</v>
      </c>
      <c r="C4" s="4"/>
      <c r="D4" s="4"/>
      <c r="E4" s="4"/>
      <c r="F4" s="4"/>
      <c r="G4" s="4"/>
      <c r="H4" s="4"/>
      <c r="I4" s="14"/>
    </row>
    <row r="5" customFormat="false" ht="17.25" hidden="false" customHeight="false" outlineLevel="0" collapsed="false">
      <c r="A5" s="2" t="s">
        <v>4</v>
      </c>
      <c r="B5" s="3" t="n">
        <v>3.3</v>
      </c>
      <c r="C5" s="4"/>
      <c r="D5" s="4"/>
      <c r="E5" s="4"/>
      <c r="F5" s="4"/>
      <c r="G5" s="4"/>
      <c r="H5" s="4"/>
      <c r="I5" s="14"/>
    </row>
    <row r="6" customFormat="false" ht="17.25" hidden="false" customHeight="false" outlineLevel="0" collapsed="false">
      <c r="A6" s="2" t="s">
        <v>5</v>
      </c>
      <c r="B6" s="3" t="n">
        <v>0</v>
      </c>
      <c r="C6" s="4"/>
      <c r="D6" s="4"/>
      <c r="E6" s="4"/>
      <c r="F6" s="4"/>
      <c r="G6" s="4"/>
      <c r="H6" s="4"/>
      <c r="I6" s="14"/>
    </row>
    <row r="7" customFormat="false" ht="17.25" hidden="false" customHeight="false" outlineLevel="0" collapsed="false">
      <c r="A7" s="2" t="s">
        <v>6</v>
      </c>
      <c r="B7" s="3" t="n">
        <v>0</v>
      </c>
      <c r="C7" s="4"/>
      <c r="D7" s="4"/>
      <c r="E7" s="4"/>
      <c r="F7" s="4"/>
      <c r="G7" s="4"/>
      <c r="H7" s="4"/>
      <c r="I7" s="14"/>
    </row>
    <row r="8" customFormat="false" ht="17.25" hidden="false" customHeight="false" outlineLevel="0" collapsed="false">
      <c r="A8" s="2" t="s">
        <v>7</v>
      </c>
      <c r="B8" s="3" t="n">
        <v>0</v>
      </c>
      <c r="C8" s="4"/>
      <c r="D8" s="4"/>
      <c r="E8" s="4"/>
      <c r="F8" s="4"/>
      <c r="G8" s="4"/>
      <c r="H8" s="4"/>
      <c r="I8" s="1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14"/>
    </row>
    <row r="10" customFormat="false" ht="15" hidden="false" customHeight="false" outlineLevel="0" collapsed="false">
      <c r="A10" s="5" t="s">
        <v>8</v>
      </c>
      <c r="B10" s="4"/>
      <c r="C10" s="4"/>
      <c r="D10" s="4"/>
      <c r="E10" s="4"/>
      <c r="F10" s="4"/>
      <c r="G10" s="4"/>
      <c r="H10" s="4"/>
      <c r="I10" s="14"/>
    </row>
    <row r="11" customFormat="false" ht="16.5" hidden="false" customHeight="false" outlineLevel="0" collapsed="false">
      <c r="A11" s="6"/>
      <c r="B11" s="2" t="s">
        <v>9</v>
      </c>
      <c r="C11" s="2" t="s">
        <v>10</v>
      </c>
      <c r="D11" s="4"/>
      <c r="E11" s="4"/>
      <c r="F11" s="4"/>
      <c r="G11" s="4"/>
      <c r="H11" s="4"/>
      <c r="I11" s="14"/>
    </row>
    <row r="12" customFormat="false" ht="17.25" hidden="false" customHeight="false" outlineLevel="0" collapsed="false">
      <c r="A12" s="2" t="s">
        <v>11</v>
      </c>
      <c r="B12" s="3" t="n">
        <f aca="false">(1.06+3.57)*9.35</f>
        <v>43.2905</v>
      </c>
      <c r="C12" s="3" t="n">
        <f aca="false">B12*B$5</f>
        <v>142.85865</v>
      </c>
      <c r="D12" s="4"/>
      <c r="E12" s="4"/>
      <c r="F12" s="4"/>
      <c r="G12" s="4"/>
      <c r="H12" s="4"/>
      <c r="I12" s="14"/>
    </row>
    <row r="13" customFormat="false" ht="17.25" hidden="false" customHeight="false" outlineLevel="0" collapsed="false">
      <c r="A13" s="2" t="s">
        <v>12</v>
      </c>
      <c r="B13" s="3" t="n">
        <f aca="false">B3-B12-B14-B15-B16-B17</f>
        <v>27.7939</v>
      </c>
      <c r="C13" s="3" t="n">
        <f aca="false">B13*B$5</f>
        <v>91.7198700000001</v>
      </c>
      <c r="D13" s="4"/>
      <c r="E13" s="4"/>
      <c r="F13" s="4"/>
      <c r="G13" s="4"/>
      <c r="H13" s="4"/>
      <c r="I13" s="14"/>
    </row>
    <row r="14" customFormat="false" ht="17.25" hidden="false" customHeight="false" outlineLevel="0" collapsed="false">
      <c r="A14" s="2" t="s">
        <v>13</v>
      </c>
      <c r="B14" s="3" t="n">
        <f aca="false">3.18*2.12</f>
        <v>6.7416</v>
      </c>
      <c r="C14" s="3" t="n">
        <f aca="false">B14*B$5</f>
        <v>22.24728</v>
      </c>
      <c r="D14" s="4"/>
      <c r="E14" s="4"/>
      <c r="F14" s="4"/>
      <c r="G14" s="4"/>
      <c r="H14" s="4"/>
      <c r="I14" s="14"/>
    </row>
    <row r="15" customFormat="false" ht="17.25" hidden="false" customHeight="false" outlineLevel="0" collapsed="false">
      <c r="A15" s="2" t="s">
        <v>14</v>
      </c>
      <c r="B15" s="3" t="n">
        <f aca="false">3.18*2.12</f>
        <v>6.7416</v>
      </c>
      <c r="C15" s="3" t="n">
        <f aca="false">B15*B$5</f>
        <v>22.24728</v>
      </c>
      <c r="D15" s="4"/>
      <c r="E15" s="4"/>
      <c r="F15" s="4"/>
      <c r="G15" s="4"/>
      <c r="H15" s="4"/>
      <c r="I15" s="14"/>
    </row>
    <row r="16" customFormat="false" ht="17.25" hidden="false" customHeight="false" outlineLevel="0" collapsed="false">
      <c r="A16" s="2" t="s">
        <v>15</v>
      </c>
      <c r="B16" s="3" t="n">
        <f aca="false">1.85*2.12</f>
        <v>3.922</v>
      </c>
      <c r="C16" s="3" t="n">
        <f aca="false">B16*B$5</f>
        <v>12.9426</v>
      </c>
      <c r="D16" s="4"/>
      <c r="E16" s="4"/>
      <c r="F16" s="4"/>
      <c r="G16" s="4"/>
      <c r="H16" s="4"/>
      <c r="I16" s="14"/>
    </row>
    <row r="17" customFormat="false" ht="17.25" hidden="false" customHeight="false" outlineLevel="0" collapsed="false">
      <c r="A17" s="2" t="s">
        <v>16</v>
      </c>
      <c r="B17" s="3" t="n">
        <f aca="false">2.65*2.12+1.59*1.86</f>
        <v>8.5754</v>
      </c>
      <c r="C17" s="3" t="n">
        <f aca="false">B17*B$5</f>
        <v>28.29882</v>
      </c>
      <c r="D17" s="4"/>
      <c r="E17" s="4"/>
      <c r="F17" s="4"/>
      <c r="G17" s="4"/>
      <c r="H17" s="4"/>
      <c r="I17" s="1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14"/>
    </row>
    <row r="19" customFormat="false" ht="15" hidden="false" customHeight="false" outlineLevel="0" collapsed="false">
      <c r="A19" s="5" t="s">
        <v>17</v>
      </c>
      <c r="B19" s="4"/>
      <c r="C19" s="4"/>
      <c r="D19" s="4"/>
      <c r="E19" s="4"/>
      <c r="F19" s="4"/>
      <c r="G19" s="4"/>
      <c r="H19" s="4"/>
      <c r="I19" s="14"/>
    </row>
    <row r="20" customFormat="false" ht="15" hidden="false" customHeight="false" outlineLevel="0" collapsed="false">
      <c r="A20" s="9"/>
      <c r="B20" s="8" t="s">
        <v>18</v>
      </c>
      <c r="C20" s="8" t="s">
        <v>19</v>
      </c>
      <c r="D20" s="8" t="s">
        <v>20</v>
      </c>
      <c r="E20" s="8" t="s">
        <v>21</v>
      </c>
      <c r="F20" s="8" t="s">
        <v>22</v>
      </c>
      <c r="G20" s="8" t="s">
        <v>23</v>
      </c>
      <c r="H20" s="4"/>
      <c r="I20" s="14"/>
    </row>
    <row r="21" customFormat="false" ht="17.25" hidden="false" customHeight="true" outlineLevel="0" collapsed="false">
      <c r="A21" s="9" t="s">
        <v>24</v>
      </c>
      <c r="B21" s="10" t="n">
        <f aca="false">(4.63+9.35)*B5-B22</f>
        <v>43.134</v>
      </c>
      <c r="C21" s="10" t="n">
        <f aca="false">(6.75+5.73)*B5-C22</f>
        <v>35.184</v>
      </c>
      <c r="D21" s="10" t="n">
        <f aca="false">(2.12*B5)-D22</f>
        <v>5.996</v>
      </c>
      <c r="E21" s="10" t="n">
        <v>0</v>
      </c>
      <c r="F21" s="10" t="n">
        <v>0</v>
      </c>
      <c r="G21" s="10" t="n">
        <v>0</v>
      </c>
      <c r="H21" s="4"/>
      <c r="I21" s="14"/>
    </row>
    <row r="22" customFormat="false" ht="17.25" hidden="false" customHeight="false" outlineLevel="0" collapsed="false">
      <c r="A22" s="9" t="s">
        <v>25</v>
      </c>
      <c r="B22" s="10" t="n">
        <v>3</v>
      </c>
      <c r="C22" s="10" t="n">
        <v>6</v>
      </c>
      <c r="D22" s="10" t="n">
        <v>1</v>
      </c>
      <c r="E22" s="10" t="n">
        <v>0</v>
      </c>
      <c r="F22" s="10" t="n">
        <v>0</v>
      </c>
      <c r="G22" s="10" t="n">
        <v>0</v>
      </c>
      <c r="H22" s="4" t="n">
        <f aca="false">SUM(B22:G22)</f>
        <v>10</v>
      </c>
      <c r="I22" s="14"/>
    </row>
    <row r="23" customFormat="false" ht="17.25" hidden="false" customHeight="false" outlineLevel="0" collapsed="false">
      <c r="A23" s="9" t="s">
        <v>26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4" t="n">
        <f aca="false">SUM(B21:G21)+SUM(B22:G22)+SUM(B23:G23)+SUM(B26:G26)</f>
        <v>141.537</v>
      </c>
      <c r="I23" s="14"/>
    </row>
    <row r="24" customFormat="false" ht="17.25" hidden="false" customHeight="false" outlineLevel="0" collapsed="false">
      <c r="A24" s="9" t="s">
        <v>27</v>
      </c>
      <c r="B24" s="10" t="n">
        <v>43.29</v>
      </c>
      <c r="C24" s="10" t="n">
        <v>27.8</v>
      </c>
      <c r="D24" s="10" t="n">
        <v>6.74</v>
      </c>
      <c r="E24" s="10" t="n">
        <v>6.74</v>
      </c>
      <c r="F24" s="10" t="n">
        <v>3.92</v>
      </c>
      <c r="G24" s="10" t="n">
        <v>8.57</v>
      </c>
      <c r="H24" s="4"/>
      <c r="I24" s="14"/>
    </row>
    <row r="25" customFormat="false" ht="17.25" hidden="false" customHeight="false" outlineLevel="0" collapsed="false">
      <c r="A25" s="9" t="s">
        <v>28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4"/>
      <c r="I25" s="14"/>
    </row>
    <row r="26" customFormat="false" ht="17.25" hidden="false" customHeight="false" outlineLevel="0" collapsed="false">
      <c r="A26" s="9" t="s">
        <v>29</v>
      </c>
      <c r="B26" s="10" t="n">
        <v>0</v>
      </c>
      <c r="C26" s="10" t="n">
        <f aca="false">3.45*B5</f>
        <v>11.385</v>
      </c>
      <c r="D26" s="10" t="n">
        <f aca="false">3.18*B5</f>
        <v>10.494</v>
      </c>
      <c r="E26" s="10" t="n">
        <f aca="false">3.18*B5</f>
        <v>10.494</v>
      </c>
      <c r="F26" s="10" t="n">
        <f aca="false">1.85*B5</f>
        <v>6.105</v>
      </c>
      <c r="G26" s="10" t="n">
        <f aca="false">2.65*B5</f>
        <v>8.745</v>
      </c>
      <c r="H26" s="4"/>
      <c r="I26" s="14"/>
    </row>
    <row r="27" customFormat="false" ht="17.25" hidden="false" customHeight="true" outlineLevel="0" collapsed="false">
      <c r="A27" s="9" t="s">
        <v>30</v>
      </c>
      <c r="B27" s="10" t="n">
        <f aca="false">(4.63*9.35)*B5</f>
        <v>142.85865</v>
      </c>
      <c r="C27" s="10" t="n">
        <f aca="false">(6.75+1.86)*B5</f>
        <v>28.413</v>
      </c>
      <c r="D27" s="10" t="n">
        <f aca="false">3.18*B5</f>
        <v>10.494</v>
      </c>
      <c r="E27" s="10" t="n">
        <f aca="false">3.18*B5</f>
        <v>10.494</v>
      </c>
      <c r="F27" s="10" t="n">
        <f aca="false">1.85*B5</f>
        <v>6.105</v>
      </c>
      <c r="G27" s="10" t="n">
        <f aca="false">(2.65+2*2.12+2*1.59+2*1.86)*B5</f>
        <v>45.507</v>
      </c>
      <c r="H27" s="4"/>
      <c r="I27" s="14"/>
    </row>
    <row r="28" customFormat="false" ht="15" hidden="false" customHeight="false" outlineLevel="0" collapsed="false">
      <c r="B28" s="11"/>
      <c r="E28" s="11"/>
      <c r="F28" s="11"/>
      <c r="G28" s="11"/>
    </row>
    <row r="29" customFormat="false" ht="15" hidden="false" customHeight="false" outlineLevel="0" collapsed="false">
      <c r="B29" s="12"/>
      <c r="C29" s="12"/>
      <c r="D29" s="12"/>
      <c r="E29" s="12"/>
      <c r="F29" s="12"/>
      <c r="G29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421875" defaultRowHeight="15" zeroHeight="false" outlineLevelRow="0" outlineLevelCol="0"/>
  <cols>
    <col collapsed="false" customWidth="true" hidden="false" outlineLevel="0" max="1" min="1" style="0" width="22.42"/>
    <col collapsed="false" customWidth="true" hidden="false" outlineLevel="0" max="2" min="2" style="0" width="15.28"/>
    <col collapsed="false" customWidth="true" hidden="false" outlineLevel="0" max="3" min="3" style="0" width="12.7"/>
    <col collapsed="false" customWidth="true" hidden="false" outlineLevel="0" max="4" min="4" style="0" width="12.28"/>
    <col collapsed="false" customWidth="true" hidden="false" outlineLevel="0" max="5" min="5" style="0" width="11.7"/>
  </cols>
  <sheetData>
    <row r="1" customFormat="false" ht="15" hidden="false" customHeight="false" outlineLevel="0" collapsed="false">
      <c r="A1" s="1" t="s">
        <v>0</v>
      </c>
    </row>
    <row r="2" customFormat="false" ht="17.25" hidden="false" customHeight="false" outlineLevel="0" collapsed="false">
      <c r="A2" s="2" t="s">
        <v>1</v>
      </c>
      <c r="B2" s="3" t="n">
        <f aca="false">10.6*10</f>
        <v>106</v>
      </c>
      <c r="C2" s="4"/>
      <c r="D2" s="4"/>
      <c r="E2" s="4"/>
      <c r="F2" s="4"/>
      <c r="G2" s="4"/>
      <c r="H2" s="4"/>
      <c r="I2" s="14"/>
    </row>
    <row r="3" customFormat="false" ht="17.25" hidden="false" customHeight="false" outlineLevel="0" collapsed="false">
      <c r="A3" s="2" t="s">
        <v>2</v>
      </c>
      <c r="B3" s="3" t="n">
        <f aca="false">10.6*10</f>
        <v>106</v>
      </c>
      <c r="C3" s="4"/>
      <c r="D3" s="4"/>
      <c r="E3" s="4"/>
      <c r="F3" s="4"/>
      <c r="G3" s="4"/>
      <c r="H3" s="4"/>
      <c r="I3" s="14"/>
    </row>
    <row r="4" customFormat="false" ht="15" hidden="false" customHeight="false" outlineLevel="0" collapsed="false">
      <c r="A4" s="2" t="s">
        <v>3</v>
      </c>
      <c r="B4" s="3" t="n">
        <v>1</v>
      </c>
      <c r="C4" s="4"/>
      <c r="D4" s="4"/>
      <c r="E4" s="4"/>
      <c r="F4" s="4"/>
      <c r="G4" s="4"/>
      <c r="H4" s="4"/>
      <c r="I4" s="14"/>
    </row>
    <row r="5" customFormat="false" ht="17.25" hidden="false" customHeight="false" outlineLevel="0" collapsed="false">
      <c r="A5" s="2" t="s">
        <v>4</v>
      </c>
      <c r="B5" s="3" t="n">
        <f aca="false">3.24</f>
        <v>3.24</v>
      </c>
      <c r="C5" s="4"/>
      <c r="D5" s="4"/>
      <c r="E5" s="4"/>
      <c r="F5" s="4"/>
      <c r="G5" s="4"/>
      <c r="H5" s="4"/>
      <c r="I5" s="14"/>
    </row>
    <row r="6" customFormat="false" ht="17.25" hidden="false" customHeight="false" outlineLevel="0" collapsed="false">
      <c r="A6" s="2" t="s">
        <v>5</v>
      </c>
      <c r="B6" s="3" t="n">
        <v>0</v>
      </c>
      <c r="C6" s="4"/>
      <c r="D6" s="4"/>
      <c r="E6" s="4"/>
      <c r="F6" s="4"/>
      <c r="G6" s="4"/>
      <c r="H6" s="4"/>
      <c r="I6" s="14"/>
    </row>
    <row r="7" customFormat="false" ht="17.25" hidden="false" customHeight="false" outlineLevel="0" collapsed="false">
      <c r="A7" s="2" t="s">
        <v>6</v>
      </c>
      <c r="B7" s="3" t="n">
        <v>0</v>
      </c>
      <c r="C7" s="4"/>
      <c r="D7" s="4"/>
      <c r="E7" s="4"/>
      <c r="F7" s="4"/>
      <c r="G7" s="4"/>
      <c r="H7" s="4"/>
      <c r="I7" s="14"/>
    </row>
    <row r="8" customFormat="false" ht="17.25" hidden="false" customHeight="false" outlineLevel="0" collapsed="false">
      <c r="A8" s="2" t="s">
        <v>7</v>
      </c>
      <c r="B8" s="3" t="n">
        <v>0</v>
      </c>
      <c r="C8" s="4"/>
      <c r="D8" s="4"/>
      <c r="E8" s="4"/>
      <c r="F8" s="4"/>
      <c r="G8" s="4"/>
      <c r="H8" s="4"/>
      <c r="I8" s="1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14"/>
    </row>
    <row r="10" customFormat="false" ht="15" hidden="false" customHeight="false" outlineLevel="0" collapsed="false">
      <c r="A10" s="5" t="s">
        <v>8</v>
      </c>
      <c r="B10" s="4"/>
      <c r="C10" s="4"/>
      <c r="D10" s="4"/>
      <c r="E10" s="4"/>
      <c r="F10" s="4"/>
      <c r="G10" s="4"/>
      <c r="H10" s="4"/>
      <c r="I10" s="14"/>
    </row>
    <row r="11" customFormat="false" ht="16.5" hidden="false" customHeight="false" outlineLevel="0" collapsed="false">
      <c r="A11" s="6"/>
      <c r="B11" s="2" t="s">
        <v>9</v>
      </c>
      <c r="C11" s="2" t="s">
        <v>10</v>
      </c>
      <c r="D11" s="4"/>
      <c r="E11" s="4"/>
      <c r="F11" s="4"/>
      <c r="G11" s="4"/>
      <c r="H11" s="4"/>
      <c r="I11" s="14"/>
    </row>
    <row r="12" customFormat="false" ht="17.25" hidden="false" customHeight="false" outlineLevel="0" collapsed="false">
      <c r="A12" s="2" t="s">
        <v>11</v>
      </c>
      <c r="B12" s="3" t="n">
        <f aca="false">5.73*5.15</f>
        <v>29.5095</v>
      </c>
      <c r="C12" s="3" t="n">
        <f aca="false">B12*B$5</f>
        <v>95.61078</v>
      </c>
      <c r="D12" s="4"/>
      <c r="E12" s="4"/>
      <c r="F12" s="4"/>
      <c r="G12" s="4"/>
      <c r="H12" s="4"/>
      <c r="I12" s="14"/>
    </row>
    <row r="13" customFormat="false" ht="17.25" hidden="false" customHeight="false" outlineLevel="0" collapsed="false">
      <c r="A13" s="2" t="s">
        <v>12</v>
      </c>
      <c r="B13" s="3" t="n">
        <f aca="false">9.45*4.85-1.1*(3.16+2.62)</f>
        <v>39.4745</v>
      </c>
      <c r="C13" s="3" t="n">
        <f aca="false">B13*B$5</f>
        <v>127.89738</v>
      </c>
      <c r="D13" s="4"/>
      <c r="E13" s="4"/>
      <c r="F13" s="4"/>
      <c r="G13" s="4"/>
      <c r="H13" s="4"/>
      <c r="I13" s="14"/>
    </row>
    <row r="14" customFormat="false" ht="17.25" hidden="false" customHeight="false" outlineLevel="0" collapsed="false">
      <c r="A14" s="2" t="s">
        <v>13</v>
      </c>
      <c r="B14" s="3" t="n">
        <f aca="false">3*4.87</f>
        <v>14.61</v>
      </c>
      <c r="C14" s="3" t="n">
        <f aca="false">B14*B$5</f>
        <v>47.3364</v>
      </c>
      <c r="D14" s="4"/>
      <c r="E14" s="4"/>
      <c r="F14" s="4"/>
      <c r="G14" s="4"/>
      <c r="H14" s="4"/>
      <c r="I14" s="14"/>
    </row>
    <row r="15" customFormat="false" ht="17.25" hidden="false" customHeight="false" outlineLevel="0" collapsed="false">
      <c r="A15" s="2" t="s">
        <v>14</v>
      </c>
      <c r="B15" s="3" t="n">
        <f aca="false">2.2*2.2</f>
        <v>4.84</v>
      </c>
      <c r="C15" s="3" t="n">
        <f aca="false">B15*B$5</f>
        <v>15.6816</v>
      </c>
      <c r="D15" s="4"/>
      <c r="E15" s="4"/>
      <c r="F15" s="4"/>
      <c r="G15" s="4"/>
      <c r="H15" s="4"/>
      <c r="I15" s="14"/>
    </row>
    <row r="16" customFormat="false" ht="17.25" hidden="false" customHeight="false" outlineLevel="0" collapsed="false">
      <c r="A16" s="2" t="s">
        <v>15</v>
      </c>
      <c r="B16" s="3" t="n">
        <v>0</v>
      </c>
      <c r="C16" s="3" t="n">
        <f aca="false">B16*B$5</f>
        <v>0</v>
      </c>
      <c r="D16" s="4"/>
      <c r="E16" s="4"/>
      <c r="F16" s="4"/>
      <c r="G16" s="4"/>
      <c r="H16" s="4"/>
      <c r="I16" s="14"/>
    </row>
    <row r="17" customFormat="false" ht="17.25" hidden="false" customHeight="false" outlineLevel="0" collapsed="false">
      <c r="A17" s="2" t="s">
        <v>16</v>
      </c>
      <c r="B17" s="3" t="n">
        <f aca="false">B2-B12-B13-B14-B15</f>
        <v>17.566</v>
      </c>
      <c r="C17" s="3" t="n">
        <f aca="false">B17*B$5</f>
        <v>56.91384</v>
      </c>
      <c r="D17" s="4"/>
      <c r="E17" s="4"/>
      <c r="F17" s="4"/>
      <c r="G17" s="4"/>
      <c r="H17" s="4"/>
      <c r="I17" s="1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14"/>
    </row>
    <row r="19" customFormat="false" ht="15" hidden="false" customHeight="false" outlineLevel="0" collapsed="false">
      <c r="A19" s="5" t="s">
        <v>17</v>
      </c>
      <c r="B19" s="4"/>
      <c r="C19" s="4"/>
      <c r="D19" s="4"/>
      <c r="E19" s="4"/>
      <c r="F19" s="4"/>
      <c r="G19" s="4"/>
      <c r="H19" s="4"/>
      <c r="I19" s="14"/>
    </row>
    <row r="20" customFormat="false" ht="15" hidden="false" customHeight="false" outlineLevel="0" collapsed="false">
      <c r="A20" s="9"/>
      <c r="B20" s="8" t="s">
        <v>18</v>
      </c>
      <c r="C20" s="8" t="s">
        <v>19</v>
      </c>
      <c r="D20" s="8" t="s">
        <v>20</v>
      </c>
      <c r="E20" s="8" t="s">
        <v>21</v>
      </c>
      <c r="F20" s="8" t="s">
        <v>22</v>
      </c>
      <c r="G20" s="8" t="s">
        <v>23</v>
      </c>
      <c r="H20" s="4"/>
      <c r="I20" s="14"/>
    </row>
    <row r="21" customFormat="false" ht="17.25" hidden="false" customHeight="true" outlineLevel="0" collapsed="false">
      <c r="A21" s="9" t="s">
        <v>24</v>
      </c>
      <c r="B21" s="10" t="n">
        <f aca="false">(5.15+5.73)*B5-B22</f>
        <v>30.2512</v>
      </c>
      <c r="C21" s="10" t="n">
        <f aca="false">(9.45+4.85)*B5-C22</f>
        <v>37.332</v>
      </c>
      <c r="D21" s="10" t="n">
        <f aca="false">(4.87)*B5-D22</f>
        <v>10.7788</v>
      </c>
      <c r="E21" s="10" t="n">
        <v>0</v>
      </c>
      <c r="F21" s="10" t="n">
        <v>0</v>
      </c>
      <c r="G21" s="10" t="n">
        <v>0</v>
      </c>
      <c r="H21" s="4"/>
      <c r="I21" s="14"/>
    </row>
    <row r="22" customFormat="false" ht="17.25" hidden="false" customHeight="false" outlineLevel="0" collapsed="false">
      <c r="A22" s="9" t="s">
        <v>25</v>
      </c>
      <c r="B22" s="10" t="n">
        <v>5</v>
      </c>
      <c r="C22" s="10" t="n">
        <v>9</v>
      </c>
      <c r="D22" s="10" t="n">
        <v>5</v>
      </c>
      <c r="E22" s="10" t="n">
        <v>0</v>
      </c>
      <c r="F22" s="10" t="n">
        <v>0</v>
      </c>
      <c r="G22" s="10" t="n">
        <v>0</v>
      </c>
      <c r="H22" s="4" t="n">
        <f aca="false">SUM(B22:G22)</f>
        <v>19</v>
      </c>
      <c r="I22" s="14"/>
    </row>
    <row r="23" customFormat="false" ht="17.25" hidden="false" customHeight="false" outlineLevel="0" collapsed="false">
      <c r="A23" s="9" t="s">
        <v>26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4" t="n">
        <f aca="false">SUM(B21:G21)+SUM(B22:G22)+SUM(B23:G23)+SUM(B26:G26)</f>
        <v>129.762</v>
      </c>
      <c r="I23" s="14"/>
    </row>
    <row r="24" customFormat="false" ht="17.25" hidden="false" customHeight="false" outlineLevel="0" collapsed="false">
      <c r="A24" s="9" t="s">
        <v>27</v>
      </c>
      <c r="B24" s="10" t="n">
        <v>29.5</v>
      </c>
      <c r="C24" s="10" t="n">
        <v>39.44</v>
      </c>
      <c r="D24" s="10" t="n">
        <v>14.61</v>
      </c>
      <c r="E24" s="10" t="n">
        <v>4.4</v>
      </c>
      <c r="F24" s="10" t="n">
        <v>0</v>
      </c>
      <c r="G24" s="10" t="n">
        <v>18.05</v>
      </c>
      <c r="H24" s="4"/>
      <c r="I24" s="14"/>
    </row>
    <row r="25" customFormat="false" ht="17.25" hidden="false" customHeight="false" outlineLevel="0" collapsed="false">
      <c r="A25" s="9" t="s">
        <v>28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4"/>
      <c r="I25" s="14"/>
    </row>
    <row r="26" customFormat="false" ht="17.25" hidden="false" customHeight="false" outlineLevel="0" collapsed="false">
      <c r="A26" s="9" t="s">
        <v>29</v>
      </c>
      <c r="B26" s="10" t="n">
        <v>0</v>
      </c>
      <c r="C26" s="10" t="n">
        <v>0</v>
      </c>
      <c r="D26" s="10" t="n">
        <f aca="false">2.9*B5</f>
        <v>9.396</v>
      </c>
      <c r="E26" s="10" t="n">
        <v>0</v>
      </c>
      <c r="F26" s="10" t="n">
        <v>0</v>
      </c>
      <c r="G26" s="10" t="n">
        <f aca="false">7.1*B5</f>
        <v>23.004</v>
      </c>
      <c r="H26" s="4"/>
      <c r="I26" s="14"/>
    </row>
    <row r="27" customFormat="false" ht="17.25" hidden="false" customHeight="true" outlineLevel="0" collapsed="false">
      <c r="A27" s="9" t="s">
        <v>30</v>
      </c>
      <c r="B27" s="21" t="n">
        <f aca="false">(5.15+5.73)*B5</f>
        <v>35.2512</v>
      </c>
      <c r="C27" s="21" t="n">
        <f aca="false">(4.85+9.45)*B5</f>
        <v>46.332</v>
      </c>
      <c r="D27" s="21" t="n">
        <f aca="false">(4.87+2.9)*B5</f>
        <v>25.1748</v>
      </c>
      <c r="E27" s="21" t="n">
        <f aca="false">4*2.2*B5</f>
        <v>28.512</v>
      </c>
      <c r="F27" s="10" t="n">
        <v>0</v>
      </c>
      <c r="G27" s="21" t="n">
        <f aca="false">7.1+2*(3.16+2.62)*B5</f>
        <v>44.5544</v>
      </c>
      <c r="H27" s="4"/>
      <c r="I27" s="14"/>
    </row>
    <row r="28" customFormat="false" ht="15" hidden="false" customHeight="false" outlineLevel="0" collapsed="false">
      <c r="B28" s="11"/>
      <c r="E28" s="11"/>
      <c r="F28" s="11"/>
      <c r="G28" s="11"/>
    </row>
    <row r="29" customFormat="false" ht="15" hidden="false" customHeight="false" outlineLevel="0" collapsed="false">
      <c r="B29" s="12"/>
      <c r="C29" s="12"/>
      <c r="D29" s="12"/>
      <c r="E29" s="12"/>
      <c r="F29" s="12"/>
      <c r="G29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421875" defaultRowHeight="15" zeroHeight="false" outlineLevelRow="0" outlineLevelCol="0"/>
  <cols>
    <col collapsed="false" customWidth="true" hidden="false" outlineLevel="0" max="1" min="1" style="0" width="22.42"/>
    <col collapsed="false" customWidth="true" hidden="false" outlineLevel="0" max="2" min="2" style="0" width="15.28"/>
    <col collapsed="false" customWidth="true" hidden="false" outlineLevel="0" max="3" min="3" style="0" width="12.7"/>
    <col collapsed="false" customWidth="true" hidden="false" outlineLevel="0" max="4" min="4" style="0" width="12.28"/>
    <col collapsed="false" customWidth="true" hidden="false" outlineLevel="0" max="5" min="5" style="0" width="11.7"/>
  </cols>
  <sheetData>
    <row r="1" customFormat="false" ht="15" hidden="false" customHeight="false" outlineLevel="0" collapsed="false">
      <c r="A1" s="1" t="s">
        <v>0</v>
      </c>
    </row>
    <row r="2" customFormat="false" ht="17.25" hidden="false" customHeight="false" outlineLevel="0" collapsed="false">
      <c r="A2" s="2" t="s">
        <v>1</v>
      </c>
      <c r="B2" s="3" t="n">
        <f aca="false">15.17*6.54-(5.31*1.62+1.91*2.11)</f>
        <v>86.5795</v>
      </c>
      <c r="C2" s="4"/>
      <c r="D2" s="4"/>
      <c r="E2" s="4"/>
      <c r="F2" s="4"/>
      <c r="G2" s="4"/>
      <c r="H2" s="4"/>
      <c r="I2" s="14"/>
    </row>
    <row r="3" customFormat="false" ht="17.25" hidden="false" customHeight="false" outlineLevel="0" collapsed="false">
      <c r="A3" s="2" t="s">
        <v>2</v>
      </c>
      <c r="B3" s="3" t="n">
        <f aca="false">15.17*6.54-(5.31*1.62+1.91*2.11)</f>
        <v>86.5795</v>
      </c>
      <c r="C3" s="4"/>
      <c r="D3" s="4"/>
      <c r="E3" s="4"/>
      <c r="F3" s="4"/>
      <c r="G3" s="4"/>
      <c r="H3" s="4"/>
      <c r="I3" s="14"/>
    </row>
    <row r="4" customFormat="false" ht="15" hidden="false" customHeight="false" outlineLevel="0" collapsed="false">
      <c r="A4" s="2" t="s">
        <v>3</v>
      </c>
      <c r="B4" s="3" t="n">
        <v>1</v>
      </c>
      <c r="C4" s="4"/>
      <c r="D4" s="4"/>
      <c r="E4" s="4"/>
      <c r="F4" s="4"/>
      <c r="G4" s="4"/>
      <c r="H4" s="4"/>
      <c r="I4" s="14"/>
    </row>
    <row r="5" customFormat="false" ht="17.25" hidden="false" customHeight="false" outlineLevel="0" collapsed="false">
      <c r="A5" s="2" t="s">
        <v>4</v>
      </c>
      <c r="B5" s="3" t="n">
        <f aca="false">308/84</f>
        <v>3.66666666666667</v>
      </c>
      <c r="C5" s="4"/>
      <c r="D5" s="4"/>
      <c r="E5" s="4"/>
      <c r="F5" s="4"/>
      <c r="G5" s="4"/>
      <c r="H5" s="4"/>
      <c r="I5" s="14"/>
    </row>
    <row r="6" customFormat="false" ht="17.25" hidden="false" customHeight="false" outlineLevel="0" collapsed="false">
      <c r="A6" s="2" t="s">
        <v>5</v>
      </c>
      <c r="B6" s="3" t="n">
        <v>0</v>
      </c>
      <c r="C6" s="4"/>
      <c r="D6" s="4"/>
      <c r="E6" s="4"/>
      <c r="F6" s="4"/>
      <c r="G6" s="4"/>
      <c r="H6" s="4"/>
      <c r="I6" s="14"/>
    </row>
    <row r="7" customFormat="false" ht="17.25" hidden="false" customHeight="false" outlineLevel="0" collapsed="false">
      <c r="A7" s="2" t="s">
        <v>6</v>
      </c>
      <c r="B7" s="3" t="n">
        <v>0</v>
      </c>
      <c r="C7" s="4"/>
      <c r="D7" s="4"/>
      <c r="E7" s="4"/>
      <c r="F7" s="4"/>
      <c r="G7" s="4"/>
      <c r="H7" s="4"/>
      <c r="I7" s="14"/>
    </row>
    <row r="8" customFormat="false" ht="17.25" hidden="false" customHeight="false" outlineLevel="0" collapsed="false">
      <c r="A8" s="2" t="s">
        <v>7</v>
      </c>
      <c r="B8" s="3" t="n">
        <v>0</v>
      </c>
      <c r="C8" s="4"/>
      <c r="D8" s="4"/>
      <c r="E8" s="4"/>
      <c r="F8" s="4"/>
      <c r="G8" s="4"/>
      <c r="H8" s="4"/>
      <c r="I8" s="1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14"/>
    </row>
    <row r="10" customFormat="false" ht="15" hidden="false" customHeight="false" outlineLevel="0" collapsed="false">
      <c r="A10" s="5" t="s">
        <v>8</v>
      </c>
      <c r="B10" s="4"/>
      <c r="C10" s="4"/>
      <c r="D10" s="4"/>
      <c r="E10" s="4"/>
      <c r="F10" s="4"/>
      <c r="G10" s="4"/>
      <c r="H10" s="4"/>
      <c r="I10" s="14"/>
    </row>
    <row r="11" customFormat="false" ht="16.5" hidden="false" customHeight="false" outlineLevel="0" collapsed="false">
      <c r="A11" s="6"/>
      <c r="B11" s="2" t="s">
        <v>9</v>
      </c>
      <c r="C11" s="2" t="s">
        <v>10</v>
      </c>
      <c r="D11" s="4"/>
      <c r="E11" s="4"/>
      <c r="F11" s="4"/>
      <c r="G11" s="4"/>
      <c r="H11" s="4"/>
      <c r="I11" s="14"/>
    </row>
    <row r="12" customFormat="false" ht="17.25" hidden="false" customHeight="false" outlineLevel="0" collapsed="false">
      <c r="A12" s="2" t="s">
        <v>11</v>
      </c>
      <c r="B12" s="3" t="n">
        <f aca="false">4.15*6.54</f>
        <v>27.141</v>
      </c>
      <c r="C12" s="3" t="n">
        <f aca="false">B12*B$5</f>
        <v>99.517</v>
      </c>
      <c r="D12" s="4"/>
      <c r="E12" s="4"/>
      <c r="F12" s="4"/>
      <c r="G12" s="4"/>
      <c r="H12" s="4"/>
      <c r="I12" s="14"/>
    </row>
    <row r="13" customFormat="false" ht="17.25" hidden="false" customHeight="false" outlineLevel="0" collapsed="false">
      <c r="A13" s="2" t="s">
        <v>12</v>
      </c>
      <c r="B13" s="3" t="n">
        <f aca="false">15.17+11.4</f>
        <v>26.57</v>
      </c>
      <c r="C13" s="3" t="n">
        <f aca="false">B13*B$5</f>
        <v>97.4233333333333</v>
      </c>
      <c r="D13" s="4"/>
      <c r="E13" s="4"/>
      <c r="F13" s="4"/>
      <c r="G13" s="4"/>
      <c r="H13" s="4"/>
      <c r="I13" s="14"/>
    </row>
    <row r="14" customFormat="false" ht="17.25" hidden="false" customHeight="false" outlineLevel="0" collapsed="false">
      <c r="A14" s="2" t="s">
        <v>13</v>
      </c>
      <c r="B14" s="3" t="n">
        <f aca="false">3.2*2.54</f>
        <v>8.128</v>
      </c>
      <c r="C14" s="3" t="n">
        <f aca="false">B14*B$5</f>
        <v>29.8026666666667</v>
      </c>
      <c r="D14" s="4"/>
      <c r="E14" s="4"/>
      <c r="F14" s="4"/>
      <c r="G14" s="4"/>
      <c r="H14" s="4"/>
      <c r="I14" s="14"/>
    </row>
    <row r="15" customFormat="false" ht="17.25" hidden="false" customHeight="false" outlineLevel="0" collapsed="false">
      <c r="A15" s="2" t="s">
        <v>14</v>
      </c>
      <c r="B15" s="3" t="n">
        <f aca="false">(2.8*2.11)</f>
        <v>5.908</v>
      </c>
      <c r="C15" s="3" t="n">
        <f aca="false">B15*B$5</f>
        <v>21.6626666666667</v>
      </c>
      <c r="D15" s="4"/>
      <c r="E15" s="4"/>
      <c r="F15" s="4"/>
      <c r="G15" s="4"/>
      <c r="H15" s="4"/>
      <c r="I15" s="14"/>
    </row>
    <row r="16" customFormat="false" ht="17.25" hidden="false" customHeight="false" outlineLevel="0" collapsed="false">
      <c r="A16" s="2" t="s">
        <v>15</v>
      </c>
      <c r="B16" s="3" t="n">
        <f aca="false">2.11*2.3+1.23*1.62</f>
        <v>6.8456</v>
      </c>
      <c r="C16" s="3" t="n">
        <f aca="false">B16*B$5</f>
        <v>25.1005333333333</v>
      </c>
      <c r="D16" s="4"/>
      <c r="E16" s="4"/>
      <c r="F16" s="4"/>
      <c r="G16" s="4"/>
      <c r="H16" s="4"/>
      <c r="I16" s="14"/>
    </row>
    <row r="17" customFormat="false" ht="17.25" hidden="false" customHeight="false" outlineLevel="0" collapsed="false">
      <c r="A17" s="2" t="s">
        <v>16</v>
      </c>
      <c r="B17" s="3" t="n">
        <f aca="false">B2-B12-B13-B14-B15-B16</f>
        <v>11.9869</v>
      </c>
      <c r="C17" s="3" t="n">
        <f aca="false">B17*B$5</f>
        <v>43.9519666666666</v>
      </c>
      <c r="D17" s="4"/>
      <c r="E17" s="4"/>
      <c r="F17" s="4"/>
      <c r="G17" s="4"/>
      <c r="H17" s="4"/>
      <c r="I17" s="1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14"/>
    </row>
    <row r="19" customFormat="false" ht="15" hidden="false" customHeight="false" outlineLevel="0" collapsed="false">
      <c r="A19" s="5" t="s">
        <v>17</v>
      </c>
      <c r="B19" s="4"/>
      <c r="C19" s="4"/>
      <c r="D19" s="4"/>
      <c r="E19" s="4"/>
      <c r="F19" s="4"/>
      <c r="G19" s="4"/>
      <c r="H19" s="4"/>
      <c r="I19" s="14"/>
    </row>
    <row r="20" customFormat="false" ht="15" hidden="false" customHeight="false" outlineLevel="0" collapsed="false">
      <c r="A20" s="9"/>
      <c r="B20" s="8" t="s">
        <v>18</v>
      </c>
      <c r="C20" s="8" t="s">
        <v>19</v>
      </c>
      <c r="D20" s="8" t="s">
        <v>20</v>
      </c>
      <c r="E20" s="8" t="s">
        <v>21</v>
      </c>
      <c r="F20" s="8" t="s">
        <v>22</v>
      </c>
      <c r="G20" s="8" t="s">
        <v>23</v>
      </c>
      <c r="H20" s="4"/>
      <c r="I20" s="14"/>
    </row>
    <row r="21" customFormat="false" ht="17.25" hidden="false" customHeight="true" outlineLevel="0" collapsed="false">
      <c r="A21" s="9" t="s">
        <v>24</v>
      </c>
      <c r="B21" s="17" t="n">
        <f aca="false">4.15*B5-B22</f>
        <v>8.55666666666667</v>
      </c>
      <c r="C21" s="17" t="n">
        <f aca="false">6.88*B5-C22</f>
        <v>18.8966666666667</v>
      </c>
      <c r="D21" s="17" t="n">
        <f aca="false">2.54*B5-D22</f>
        <v>7.31333333333333</v>
      </c>
      <c r="E21" s="17" t="n">
        <v>0</v>
      </c>
      <c r="F21" s="17" t="n">
        <f aca="false">1.62*B5-E22</f>
        <v>5.94</v>
      </c>
      <c r="G21" s="17" t="n">
        <v>0</v>
      </c>
      <c r="H21" s="4"/>
      <c r="I21" s="14"/>
    </row>
    <row r="22" customFormat="false" ht="17.25" hidden="false" customHeight="false" outlineLevel="0" collapsed="false">
      <c r="A22" s="9" t="s">
        <v>25</v>
      </c>
      <c r="B22" s="17" t="n">
        <v>6.66</v>
      </c>
      <c r="C22" s="17" t="n">
        <v>6.33</v>
      </c>
      <c r="D22" s="17" t="n">
        <v>2</v>
      </c>
      <c r="E22" s="17" t="n">
        <v>0</v>
      </c>
      <c r="F22" s="17" t="n">
        <v>1</v>
      </c>
      <c r="G22" s="17" t="n">
        <v>0</v>
      </c>
      <c r="H22" s="4" t="n">
        <f aca="false">SUM(B22:G22)</f>
        <v>15.99</v>
      </c>
      <c r="I22" s="14"/>
    </row>
    <row r="23" customFormat="false" ht="17.25" hidden="false" customHeight="false" outlineLevel="0" collapsed="false">
      <c r="A23" s="9" t="s">
        <v>26</v>
      </c>
      <c r="B23" s="17" t="n">
        <v>0</v>
      </c>
      <c r="C23" s="17" t="n">
        <v>0</v>
      </c>
      <c r="D23" s="17" t="n">
        <v>0</v>
      </c>
      <c r="E23" s="17" t="n">
        <v>0</v>
      </c>
      <c r="F23" s="17" t="n">
        <v>0</v>
      </c>
      <c r="G23" s="17" t="n">
        <v>0</v>
      </c>
      <c r="H23" s="4" t="n">
        <f aca="false">SUM(B21:G21)+SUM(B22:G22)+SUM(B23:G23)+SUM(B26:G26)</f>
        <v>166.293333333333</v>
      </c>
      <c r="I23" s="14"/>
    </row>
    <row r="24" customFormat="false" ht="17.25" hidden="false" customHeight="false" outlineLevel="0" collapsed="false">
      <c r="A24" s="9" t="s">
        <v>27</v>
      </c>
      <c r="B24" s="17" t="n">
        <v>27.14</v>
      </c>
      <c r="C24" s="17" t="n">
        <v>26.57</v>
      </c>
      <c r="D24" s="17" t="n">
        <v>8.12</v>
      </c>
      <c r="E24" s="17" t="n">
        <v>5.9</v>
      </c>
      <c r="F24" s="17" t="n">
        <v>6.4</v>
      </c>
      <c r="G24" s="17" t="n">
        <v>12.43</v>
      </c>
      <c r="H24" s="4"/>
      <c r="I24" s="14"/>
    </row>
    <row r="25" customFormat="false" ht="17.25" hidden="false" customHeight="false" outlineLevel="0" collapsed="false">
      <c r="A25" s="9" t="s">
        <v>28</v>
      </c>
      <c r="B25" s="17" t="n">
        <v>0</v>
      </c>
      <c r="C25" s="17" t="n">
        <v>0</v>
      </c>
      <c r="D25" s="17" t="n">
        <v>0</v>
      </c>
      <c r="E25" s="17" t="n">
        <v>0</v>
      </c>
      <c r="F25" s="17" t="n">
        <v>0</v>
      </c>
      <c r="G25" s="17" t="n">
        <v>0</v>
      </c>
      <c r="H25" s="4"/>
      <c r="I25" s="14"/>
    </row>
    <row r="26" customFormat="false" ht="17.25" hidden="false" customHeight="false" outlineLevel="0" collapsed="false">
      <c r="A26" s="9" t="s">
        <v>29</v>
      </c>
      <c r="B26" s="17" t="n">
        <f aca="false">4.15*B5</f>
        <v>15.2166666666667</v>
      </c>
      <c r="C26" s="17" t="n">
        <f aca="false">(4.36+1.91)*B5</f>
        <v>22.99</v>
      </c>
      <c r="D26" s="17" t="n">
        <f aca="false">2.8*B5</f>
        <v>10.2666666666667</v>
      </c>
      <c r="E26" s="17" t="n">
        <f aca="false">(2.11+2.8)*B5</f>
        <v>18.0033333333333</v>
      </c>
      <c r="F26" s="17" t="n">
        <f aca="false">(1.23+1.62+2.3)*B5</f>
        <v>18.8833333333333</v>
      </c>
      <c r="G26" s="17" t="n">
        <f aca="false">(2.5+2.11+2)*B5</f>
        <v>24.2366666666667</v>
      </c>
      <c r="H26" s="4"/>
      <c r="I26" s="14"/>
    </row>
    <row r="27" customFormat="false" ht="17.25" hidden="false" customHeight="true" outlineLevel="0" collapsed="false">
      <c r="A27" s="9" t="s">
        <v>30</v>
      </c>
      <c r="B27" s="17" t="n">
        <f aca="false">2*6.47*B5</f>
        <v>47.4466666666667</v>
      </c>
      <c r="C27" s="17" t="n">
        <f aca="false">(4.36+1.9+3.4)*B5</f>
        <v>35.42</v>
      </c>
      <c r="D27" s="17" t="n">
        <f aca="false">(2.5+3)*B5</f>
        <v>20.1666666666667</v>
      </c>
      <c r="E27" s="17" t="n">
        <f aca="false">(2.11+2.8)*B5</f>
        <v>18.0033333333333</v>
      </c>
      <c r="F27" s="17" t="n">
        <f aca="false">(1.23+2.11+2.3)*B5</f>
        <v>20.68</v>
      </c>
      <c r="G27" s="17" t="n">
        <f aca="false">(2.5+2.11+2+3.3+3.4+2*1)*B5</f>
        <v>56.1366666666667</v>
      </c>
      <c r="H27" s="4"/>
      <c r="I27" s="14"/>
    </row>
    <row r="28" customFormat="false" ht="15" hidden="false" customHeight="false" outlineLevel="0" collapsed="false">
      <c r="B28" s="11"/>
      <c r="E28" s="11"/>
      <c r="F28" s="11"/>
      <c r="G28" s="11"/>
    </row>
    <row r="29" customFormat="false" ht="15" hidden="false" customHeight="false" outlineLevel="0" collapsed="false">
      <c r="B29" s="12"/>
      <c r="C29" s="12"/>
      <c r="D29" s="12"/>
      <c r="E29" s="12"/>
      <c r="F29" s="12"/>
      <c r="G29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20" activeCellId="0" sqref="B20"/>
    </sheetView>
  </sheetViews>
  <sheetFormatPr defaultColWidth="11.421875" defaultRowHeight="15" zeroHeight="false" outlineLevelRow="0" outlineLevelCol="0"/>
  <cols>
    <col collapsed="false" customWidth="true" hidden="false" outlineLevel="0" max="1" min="1" style="0" width="22.42"/>
    <col collapsed="false" customWidth="true" hidden="false" outlineLevel="0" max="2" min="2" style="0" width="15.28"/>
    <col collapsed="false" customWidth="true" hidden="false" outlineLevel="0" max="3" min="3" style="0" width="12.7"/>
    <col collapsed="false" customWidth="true" hidden="false" outlineLevel="0" max="4" min="4" style="0" width="12.28"/>
    <col collapsed="false" customWidth="true" hidden="false" outlineLevel="0" max="5" min="5" style="0" width="11.7"/>
  </cols>
  <sheetData>
    <row r="1" customFormat="false" ht="15" hidden="false" customHeight="false" outlineLevel="0" collapsed="false">
      <c r="A1" s="1" t="s">
        <v>0</v>
      </c>
    </row>
    <row r="2" customFormat="false" ht="17.25" hidden="false" customHeight="false" outlineLevel="0" collapsed="false">
      <c r="A2" s="2" t="s">
        <v>1</v>
      </c>
      <c r="B2" s="13" t="n">
        <f aca="false">9.08*14.72+(2.36+3.23)*2.8</f>
        <v>149.3096</v>
      </c>
      <c r="C2" s="4"/>
      <c r="D2" s="4"/>
      <c r="E2" s="4"/>
      <c r="F2" s="4"/>
      <c r="G2" s="4"/>
      <c r="H2" s="4"/>
      <c r="I2" s="14"/>
    </row>
    <row r="3" customFormat="false" ht="17.25" hidden="false" customHeight="false" outlineLevel="0" collapsed="false">
      <c r="A3" s="2" t="s">
        <v>2</v>
      </c>
      <c r="B3" s="13" t="n">
        <f aca="false">149.3</f>
        <v>149.3</v>
      </c>
      <c r="C3" s="4"/>
      <c r="D3" s="4"/>
      <c r="E3" s="4"/>
      <c r="F3" s="4"/>
      <c r="G3" s="4"/>
      <c r="H3" s="4"/>
      <c r="I3" s="14"/>
    </row>
    <row r="4" customFormat="false" ht="15" hidden="false" customHeight="false" outlineLevel="0" collapsed="false">
      <c r="A4" s="2" t="s">
        <v>3</v>
      </c>
      <c r="B4" s="13" t="n">
        <v>1</v>
      </c>
      <c r="C4" s="4"/>
      <c r="D4" s="4"/>
      <c r="E4" s="4"/>
      <c r="F4" s="4"/>
      <c r="G4" s="4"/>
      <c r="H4" s="4"/>
      <c r="I4" s="14"/>
    </row>
    <row r="5" customFormat="false" ht="17.25" hidden="false" customHeight="false" outlineLevel="0" collapsed="false">
      <c r="A5" s="2" t="s">
        <v>4</v>
      </c>
      <c r="B5" s="13" t="n">
        <v>3</v>
      </c>
      <c r="C5" s="4"/>
      <c r="D5" s="4"/>
      <c r="E5" s="4"/>
      <c r="F5" s="4"/>
      <c r="G5" s="4"/>
      <c r="H5" s="4"/>
      <c r="I5" s="14"/>
    </row>
    <row r="6" customFormat="false" ht="17.25" hidden="false" customHeight="false" outlineLevel="0" collapsed="false">
      <c r="A6" s="2" t="s">
        <v>5</v>
      </c>
      <c r="B6" s="13" t="n">
        <v>0</v>
      </c>
      <c r="C6" s="4"/>
      <c r="D6" s="4"/>
      <c r="E6" s="4"/>
      <c r="F6" s="4"/>
      <c r="G6" s="4"/>
      <c r="H6" s="4"/>
      <c r="I6" s="14"/>
    </row>
    <row r="7" customFormat="false" ht="17.25" hidden="false" customHeight="false" outlineLevel="0" collapsed="false">
      <c r="A7" s="2" t="s">
        <v>6</v>
      </c>
      <c r="B7" s="13" t="n">
        <v>0</v>
      </c>
      <c r="C7" s="4"/>
      <c r="D7" s="4"/>
      <c r="E7" s="4"/>
      <c r="F7" s="4"/>
      <c r="G7" s="4"/>
      <c r="H7" s="4"/>
      <c r="I7" s="14"/>
    </row>
    <row r="8" customFormat="false" ht="17.25" hidden="false" customHeight="false" outlineLevel="0" collapsed="false">
      <c r="A8" s="2" t="s">
        <v>7</v>
      </c>
      <c r="B8" s="13" t="n">
        <v>0</v>
      </c>
      <c r="C8" s="4"/>
      <c r="D8" s="4"/>
      <c r="E8" s="4"/>
      <c r="F8" s="4"/>
      <c r="G8" s="4"/>
      <c r="H8" s="4"/>
      <c r="I8" s="1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14"/>
    </row>
    <row r="10" customFormat="false" ht="15" hidden="false" customHeight="false" outlineLevel="0" collapsed="false">
      <c r="A10" s="5" t="s">
        <v>8</v>
      </c>
      <c r="B10" s="4"/>
      <c r="C10" s="4"/>
      <c r="D10" s="4"/>
      <c r="E10" s="4"/>
      <c r="F10" s="4"/>
      <c r="G10" s="4"/>
      <c r="H10" s="4"/>
      <c r="I10" s="14"/>
    </row>
    <row r="11" customFormat="false" ht="16.5" hidden="false" customHeight="false" outlineLevel="0" collapsed="false">
      <c r="A11" s="6"/>
      <c r="B11" s="2" t="s">
        <v>9</v>
      </c>
      <c r="C11" s="2" t="s">
        <v>10</v>
      </c>
      <c r="D11" s="4"/>
      <c r="E11" s="4"/>
      <c r="F11" s="4"/>
      <c r="G11" s="4"/>
      <c r="H11" s="4"/>
      <c r="I11" s="14"/>
    </row>
    <row r="12" customFormat="false" ht="17.25" hidden="false" customHeight="false" outlineLevel="0" collapsed="false">
      <c r="A12" s="2" t="s">
        <v>11</v>
      </c>
      <c r="B12" s="13" t="n">
        <f aca="false">5.75*(5.13+3.23)+2.8*3.23</f>
        <v>57.114</v>
      </c>
      <c r="C12" s="13" t="n">
        <f aca="false">B12*B$5</f>
        <v>171.342</v>
      </c>
      <c r="D12" s="4"/>
      <c r="E12" s="4"/>
      <c r="F12" s="4"/>
      <c r="G12" s="4"/>
      <c r="H12" s="4"/>
      <c r="I12" s="14"/>
    </row>
    <row r="13" customFormat="false" ht="17.25" hidden="false" customHeight="false" outlineLevel="0" collapsed="false">
      <c r="A13" s="2" t="s">
        <v>12</v>
      </c>
      <c r="B13" s="13" t="n">
        <f aca="false">9.08*4+2.36*2</f>
        <v>41.04</v>
      </c>
      <c r="C13" s="13" t="n">
        <f aca="false">B13*B$5</f>
        <v>123.12</v>
      </c>
      <c r="D13" s="4"/>
      <c r="E13" s="4"/>
      <c r="F13" s="4"/>
      <c r="G13" s="4"/>
      <c r="H13" s="4"/>
      <c r="I13" s="14"/>
    </row>
    <row r="14" customFormat="false" ht="17.25" hidden="false" customHeight="false" outlineLevel="0" collapsed="false">
      <c r="A14" s="2" t="s">
        <v>13</v>
      </c>
      <c r="B14" s="13" t="n">
        <f aca="false">3.33*5.13</f>
        <v>17.0829</v>
      </c>
      <c r="C14" s="13" t="n">
        <f aca="false">B14*B$5</f>
        <v>51.2487</v>
      </c>
      <c r="D14" s="4"/>
      <c r="E14" s="4"/>
      <c r="F14" s="4"/>
      <c r="G14" s="4"/>
      <c r="H14" s="4"/>
      <c r="I14" s="14"/>
    </row>
    <row r="15" customFormat="false" ht="17.25" hidden="false" customHeight="false" outlineLevel="0" collapsed="false">
      <c r="A15" s="2" t="s">
        <v>14</v>
      </c>
      <c r="B15" s="13" t="n">
        <f aca="false">2.36*2.8</f>
        <v>6.608</v>
      </c>
      <c r="C15" s="13" t="n">
        <f aca="false">B15*B$5</f>
        <v>19.824</v>
      </c>
      <c r="D15" s="4"/>
      <c r="E15" s="4"/>
      <c r="F15" s="4"/>
      <c r="G15" s="4"/>
      <c r="H15" s="4"/>
      <c r="I15" s="14"/>
    </row>
    <row r="16" customFormat="false" ht="17.25" hidden="false" customHeight="false" outlineLevel="0" collapsed="false">
      <c r="A16" s="2" t="s">
        <v>15</v>
      </c>
      <c r="B16" s="13" t="n">
        <v>3.3</v>
      </c>
      <c r="C16" s="13" t="n">
        <f aca="false">B16*B$5</f>
        <v>9.9</v>
      </c>
      <c r="D16" s="4"/>
      <c r="E16" s="4"/>
      <c r="F16" s="4"/>
      <c r="G16" s="4"/>
      <c r="H16" s="4"/>
      <c r="I16" s="14"/>
    </row>
    <row r="17" customFormat="false" ht="17.25" hidden="false" customHeight="false" outlineLevel="0" collapsed="false">
      <c r="A17" s="2" t="s">
        <v>16</v>
      </c>
      <c r="B17" s="3" t="n">
        <f aca="false">B3-B12-B13-B14-B15-B16</f>
        <v>24.1551</v>
      </c>
      <c r="C17" s="13" t="n">
        <f aca="false">B17*B$5</f>
        <v>72.4653000000001</v>
      </c>
      <c r="D17" s="4"/>
      <c r="E17" s="4"/>
      <c r="F17" s="4"/>
      <c r="G17" s="4"/>
      <c r="H17" s="4"/>
      <c r="I17" s="1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14"/>
    </row>
    <row r="19" customFormat="false" ht="15" hidden="false" customHeight="false" outlineLevel="0" collapsed="false">
      <c r="A19" s="5" t="s">
        <v>17</v>
      </c>
      <c r="B19" s="4"/>
      <c r="C19" s="4"/>
      <c r="D19" s="4"/>
      <c r="E19" s="4"/>
      <c r="F19" s="4"/>
      <c r="G19" s="4"/>
      <c r="H19" s="4"/>
      <c r="I19" s="14"/>
    </row>
    <row r="20" customFormat="false" ht="15" hidden="false" customHeight="false" outlineLevel="0" collapsed="false">
      <c r="A20" s="9"/>
      <c r="B20" s="8" t="s">
        <v>18</v>
      </c>
      <c r="C20" s="8" t="s">
        <v>19</v>
      </c>
      <c r="D20" s="8" t="s">
        <v>20</v>
      </c>
      <c r="E20" s="8" t="s">
        <v>21</v>
      </c>
      <c r="F20" s="8" t="s">
        <v>22</v>
      </c>
      <c r="G20" s="8" t="s">
        <v>23</v>
      </c>
      <c r="H20" s="4"/>
      <c r="I20" s="14"/>
    </row>
    <row r="21" customFormat="false" ht="17.25" hidden="false" customHeight="true" outlineLevel="0" collapsed="false">
      <c r="A21" s="9" t="s">
        <v>24</v>
      </c>
      <c r="B21" s="10" t="n">
        <f aca="false">(5.75+5.13+3.23)*B5-B22</f>
        <v>22.43</v>
      </c>
      <c r="C21" s="10" t="n">
        <f aca="false">(11.88+4)*B5-C22</f>
        <v>36.19</v>
      </c>
      <c r="D21" s="10" t="n">
        <f aca="false">3.33*B5-D22</f>
        <v>2.99</v>
      </c>
      <c r="E21" s="10" t="n">
        <f aca="false">(2.8+2.36)*B5-E22</f>
        <v>13.83</v>
      </c>
      <c r="F21" s="10" t="n">
        <v>0</v>
      </c>
      <c r="G21" s="10" t="n">
        <v>0</v>
      </c>
      <c r="H21" s="4"/>
      <c r="I21" s="14"/>
    </row>
    <row r="22" customFormat="false" ht="17.25" hidden="false" customHeight="false" outlineLevel="0" collapsed="false">
      <c r="A22" s="9" t="s">
        <v>25</v>
      </c>
      <c r="B22" s="3" t="n">
        <f aca="false">9+5.45+5.45</f>
        <v>19.9</v>
      </c>
      <c r="C22" s="3" t="n">
        <f aca="false">6+5.45</f>
        <v>11.45</v>
      </c>
      <c r="D22" s="3" t="n">
        <f aca="false">7</f>
        <v>7</v>
      </c>
      <c r="E22" s="10" t="n">
        <f aca="false">1.65</f>
        <v>1.65</v>
      </c>
      <c r="F22" s="10" t="n">
        <v>0</v>
      </c>
      <c r="G22" s="10" t="n">
        <v>0</v>
      </c>
      <c r="H22" s="4" t="n">
        <f aca="false">SUM(B22:G22)</f>
        <v>40</v>
      </c>
      <c r="I22" s="14"/>
    </row>
    <row r="23" customFormat="false" ht="17.25" hidden="false" customHeight="false" outlineLevel="0" collapsed="false">
      <c r="A23" s="9" t="s">
        <v>26</v>
      </c>
      <c r="B23" s="10" t="n">
        <v>0</v>
      </c>
      <c r="C23" s="10" t="n">
        <v>0</v>
      </c>
      <c r="D23" s="10" t="n">
        <v>0</v>
      </c>
      <c r="E23" s="10" t="n">
        <v>0</v>
      </c>
      <c r="F23" s="10" t="n">
        <v>0</v>
      </c>
      <c r="G23" s="10" t="n">
        <v>0</v>
      </c>
      <c r="H23" s="4" t="n">
        <f aca="false">SUM(B21:G21)+SUM(B22:G22)+SUM(B23:G23)+SUM(B26:G26)</f>
        <v>159.03</v>
      </c>
      <c r="I23" s="14"/>
    </row>
    <row r="24" customFormat="false" ht="17.25" hidden="false" customHeight="false" outlineLevel="0" collapsed="false">
      <c r="A24" s="9" t="s">
        <v>27</v>
      </c>
      <c r="B24" s="10" t="n">
        <v>57.11</v>
      </c>
      <c r="C24" s="10" t="n">
        <v>41.04</v>
      </c>
      <c r="D24" s="10" t="n">
        <v>18.75</v>
      </c>
      <c r="E24" s="10" t="n">
        <v>6.6</v>
      </c>
      <c r="F24" s="10" t="n">
        <v>3.3</v>
      </c>
      <c r="G24" s="10" t="n">
        <v>22.5</v>
      </c>
      <c r="H24" s="4"/>
      <c r="I24" s="14"/>
    </row>
    <row r="25" customFormat="false" ht="17.25" hidden="false" customHeight="false" outlineLevel="0" collapsed="false">
      <c r="A25" s="9" t="s">
        <v>28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0</v>
      </c>
      <c r="H25" s="4"/>
      <c r="I25" s="14"/>
    </row>
    <row r="26" customFormat="false" ht="17.25" hidden="false" customHeight="false" outlineLevel="0" collapsed="false">
      <c r="A26" s="9" t="s">
        <v>29</v>
      </c>
      <c r="B26" s="10" t="n">
        <v>0</v>
      </c>
      <c r="C26" s="10" t="n">
        <f aca="false">4*B5</f>
        <v>12</v>
      </c>
      <c r="D26" s="10" t="n">
        <f aca="false">5.13*B5</f>
        <v>15.39</v>
      </c>
      <c r="E26" s="10" t="n">
        <v>0</v>
      </c>
      <c r="F26" s="10" t="n">
        <f aca="false">1*B5</f>
        <v>3</v>
      </c>
      <c r="G26" s="10" t="n">
        <f aca="false">4.4*B5</f>
        <v>13.2</v>
      </c>
      <c r="H26" s="4"/>
      <c r="I26" s="14"/>
    </row>
    <row r="27" customFormat="false" ht="17.25" hidden="false" customHeight="true" outlineLevel="0" collapsed="false">
      <c r="A27" s="9" t="s">
        <v>30</v>
      </c>
      <c r="B27" s="10" t="n">
        <f aca="false">(5.13+3.23+5.75+2.8)*B5</f>
        <v>50.73</v>
      </c>
      <c r="C27" s="10" t="n">
        <f aca="false">(4.74+4.34+2*2.36)*B5</f>
        <v>41.4</v>
      </c>
      <c r="D27" s="10" t="n">
        <f aca="false">(2*3.33+5.13)*B5</f>
        <v>35.37</v>
      </c>
      <c r="E27" s="10" t="n">
        <f aca="false">(2.36+2.8)*B5</f>
        <v>15.48</v>
      </c>
      <c r="F27" s="10" t="n">
        <f aca="false">(2*3.33+1)*B5</f>
        <v>22.98</v>
      </c>
      <c r="G27" s="10" t="n">
        <f aca="false">(2*6+2)*B5</f>
        <v>42</v>
      </c>
      <c r="H27" s="4"/>
      <c r="I27" s="14"/>
    </row>
    <row r="28" customFormat="false" ht="15" hidden="false" customHeight="false" outlineLevel="0" collapsed="false">
      <c r="B28" s="11"/>
      <c r="E28" s="11"/>
      <c r="F28" s="11"/>
      <c r="G28" s="11"/>
    </row>
    <row r="29" customFormat="false" ht="15" hidden="false" customHeight="false" outlineLevel="0" collapsed="false">
      <c r="B29" s="12"/>
      <c r="C29" s="12"/>
      <c r="D29" s="12"/>
      <c r="E29" s="12"/>
      <c r="F29" s="12"/>
      <c r="G29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0" activeCellId="0" sqref="B20"/>
    </sheetView>
  </sheetViews>
  <sheetFormatPr defaultColWidth="11.421875" defaultRowHeight="15" zeroHeight="false" outlineLevelRow="0" outlineLevelCol="0"/>
  <cols>
    <col collapsed="false" customWidth="true" hidden="false" outlineLevel="0" max="1" min="1" style="0" width="22.42"/>
    <col collapsed="false" customWidth="true" hidden="false" outlineLevel="0" max="2" min="2" style="0" width="15.28"/>
    <col collapsed="false" customWidth="true" hidden="false" outlineLevel="0" max="3" min="3" style="0" width="12.7"/>
    <col collapsed="false" customWidth="true" hidden="false" outlineLevel="0" max="4" min="4" style="0" width="12.28"/>
    <col collapsed="false" customWidth="true" hidden="false" outlineLevel="0" max="5" min="5" style="0" width="11.7"/>
  </cols>
  <sheetData>
    <row r="1" customFormat="false" ht="15" hidden="false" customHeight="false" outlineLevel="0" collapsed="false">
      <c r="A1" s="1" t="s">
        <v>0</v>
      </c>
    </row>
    <row r="2" customFormat="false" ht="17.25" hidden="false" customHeight="false" outlineLevel="0" collapsed="false">
      <c r="A2" s="2" t="s">
        <v>1</v>
      </c>
      <c r="B2" s="3" t="n">
        <f aca="false">2*(8.1*7.5)</f>
        <v>121.5</v>
      </c>
      <c r="C2" s="4"/>
      <c r="D2" s="4"/>
      <c r="E2" s="4"/>
      <c r="F2" s="4"/>
      <c r="G2" s="4"/>
    </row>
    <row r="3" customFormat="false" ht="17.25" hidden="false" customHeight="false" outlineLevel="0" collapsed="false">
      <c r="A3" s="2" t="s">
        <v>2</v>
      </c>
      <c r="B3" s="3" t="n">
        <f aca="false">60.75</f>
        <v>60.75</v>
      </c>
      <c r="C3" s="4"/>
      <c r="D3" s="4"/>
      <c r="E3" s="4"/>
      <c r="F3" s="4"/>
      <c r="G3" s="4"/>
    </row>
    <row r="4" customFormat="false" ht="15" hidden="false" customHeight="false" outlineLevel="0" collapsed="false">
      <c r="A4" s="2" t="s">
        <v>3</v>
      </c>
      <c r="B4" s="3" t="n">
        <f aca="false">2</f>
        <v>2</v>
      </c>
      <c r="C4" s="4"/>
      <c r="D4" s="4"/>
      <c r="E4" s="4"/>
      <c r="F4" s="4"/>
      <c r="G4" s="4"/>
    </row>
    <row r="5" customFormat="false" ht="17.25" hidden="false" customHeight="false" outlineLevel="0" collapsed="false">
      <c r="A5" s="2" t="s">
        <v>4</v>
      </c>
      <c r="B5" s="3" t="n">
        <f aca="false">3.07</f>
        <v>3.07</v>
      </c>
      <c r="C5" s="4"/>
      <c r="D5" s="4"/>
      <c r="E5" s="4"/>
      <c r="F5" s="4"/>
      <c r="G5" s="4"/>
    </row>
    <row r="6" customFormat="false" ht="17.25" hidden="false" customHeight="false" outlineLevel="0" collapsed="false">
      <c r="A6" s="2" t="s">
        <v>5</v>
      </c>
      <c r="B6" s="3" t="n">
        <f aca="false">3.83</f>
        <v>3.83</v>
      </c>
      <c r="C6" s="4"/>
      <c r="D6" s="4"/>
      <c r="E6" s="4"/>
      <c r="F6" s="4"/>
      <c r="G6" s="4"/>
    </row>
    <row r="7" customFormat="false" ht="17.25" hidden="false" customHeight="false" outlineLevel="0" collapsed="false">
      <c r="A7" s="2" t="s">
        <v>6</v>
      </c>
      <c r="B7" s="3" t="n">
        <v>0</v>
      </c>
      <c r="C7" s="4"/>
      <c r="D7" s="4"/>
      <c r="E7" s="4"/>
      <c r="F7" s="4"/>
      <c r="G7" s="4"/>
    </row>
    <row r="8" customFormat="false" ht="17.25" hidden="false" customHeight="false" outlineLevel="0" collapsed="false">
      <c r="A8" s="2" t="s">
        <v>7</v>
      </c>
      <c r="B8" s="3" t="n">
        <v>0</v>
      </c>
      <c r="C8" s="4"/>
      <c r="D8" s="4"/>
      <c r="E8" s="4"/>
      <c r="F8" s="4"/>
      <c r="G8" s="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</row>
    <row r="10" customFormat="false" ht="15" hidden="false" customHeight="false" outlineLevel="0" collapsed="false">
      <c r="A10" s="5" t="s">
        <v>8</v>
      </c>
      <c r="B10" s="4"/>
      <c r="C10" s="4"/>
      <c r="D10" s="4"/>
      <c r="E10" s="4"/>
      <c r="F10" s="4"/>
      <c r="G10" s="4"/>
    </row>
    <row r="11" customFormat="false" ht="16.5" hidden="false" customHeight="false" outlineLevel="0" collapsed="false">
      <c r="A11" s="6"/>
      <c r="B11" s="2" t="s">
        <v>9</v>
      </c>
      <c r="C11" s="2" t="s">
        <v>10</v>
      </c>
      <c r="D11" s="4"/>
      <c r="E11" s="4"/>
      <c r="F11" s="4"/>
      <c r="G11" s="4"/>
    </row>
    <row r="12" customFormat="false" ht="17.25" hidden="false" customHeight="false" outlineLevel="0" collapsed="false">
      <c r="A12" s="2" t="s">
        <v>11</v>
      </c>
      <c r="B12" s="3" t="n">
        <f aca="false">11.56+19.98</f>
        <v>31.54</v>
      </c>
      <c r="C12" s="3" t="n">
        <f aca="false">B12*B5</f>
        <v>96.8278</v>
      </c>
      <c r="D12" s="4"/>
      <c r="E12" s="4"/>
      <c r="F12" s="4"/>
      <c r="G12" s="4"/>
    </row>
    <row r="13" customFormat="false" ht="17.25" hidden="false" customHeight="false" outlineLevel="0" collapsed="false">
      <c r="A13" s="2" t="s">
        <v>12</v>
      </c>
      <c r="B13" s="3" t="n">
        <f aca="false">(4.95*7.5)-2.82*(2.2+1.9)</f>
        <v>25.563</v>
      </c>
      <c r="C13" s="13" t="n">
        <f aca="false">7.5*4.4*B6-C15-1.9*(2.82*B6-2.82*(B6-(1.58/4.4*B6))/2)</f>
        <v>96.2980555909091</v>
      </c>
      <c r="D13" s="4"/>
      <c r="E13" s="4"/>
      <c r="F13" s="4"/>
      <c r="G13" s="4"/>
    </row>
    <row r="14" customFormat="false" ht="17.25" hidden="false" customHeight="false" outlineLevel="0" collapsed="false">
      <c r="A14" s="2" t="s">
        <v>13</v>
      </c>
      <c r="B14" s="3" t="n">
        <f aca="false">3.7*3.05</f>
        <v>11.285</v>
      </c>
      <c r="C14" s="3" t="n">
        <f aca="false">B14*B5</f>
        <v>34.64495</v>
      </c>
      <c r="D14" s="4"/>
      <c r="E14" s="4"/>
      <c r="F14" s="4"/>
      <c r="G14" s="4"/>
    </row>
    <row r="15" customFormat="false" ht="17.25" hidden="false" customHeight="false" outlineLevel="0" collapsed="false">
      <c r="A15" s="2" t="s">
        <v>14</v>
      </c>
      <c r="B15" s="3" t="n">
        <f aca="false">2.82*2.2</f>
        <v>6.204</v>
      </c>
      <c r="C15" s="13" t="n">
        <f aca="false">2.2*(2.82*B6-2.82*(B6-(1.58/4.4*B6))/2)</f>
        <v>16.146897</v>
      </c>
      <c r="D15" s="4"/>
      <c r="E15" s="4"/>
      <c r="F15" s="4"/>
      <c r="G15" s="4"/>
    </row>
    <row r="16" customFormat="false" ht="17.25" hidden="false" customHeight="false" outlineLevel="0" collapsed="false">
      <c r="A16" s="2" t="s">
        <v>15</v>
      </c>
      <c r="B16" s="3" t="n">
        <f aca="false">B2-B12-B13-B14-B15-B17</f>
        <v>32.04</v>
      </c>
      <c r="C16" s="3" t="n">
        <f aca="false">(2.2*3.4)*B6+7.5*(1.58/4.4*B6)/2*2</f>
        <v>38.9632863636364</v>
      </c>
      <c r="D16" s="4"/>
      <c r="E16" s="4"/>
      <c r="F16" s="4"/>
      <c r="G16" s="4"/>
    </row>
    <row r="17" customFormat="false" ht="17.25" hidden="false" customHeight="false" outlineLevel="0" collapsed="false">
      <c r="A17" s="2" t="s">
        <v>16</v>
      </c>
      <c r="B17" s="3" t="n">
        <f aca="false">1.9*3.4+1*3.05+1.9*2.82</f>
        <v>14.868</v>
      </c>
      <c r="C17" s="13" t="n">
        <f aca="false">9.51*B5+1.9*(2.82*B6-2.82*(B6-(1.58/4.4*B6))/2)</f>
        <v>43.1407474090909</v>
      </c>
      <c r="D17" s="4"/>
      <c r="E17" s="4"/>
      <c r="F17" s="4"/>
      <c r="G17" s="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</row>
    <row r="19" customFormat="false" ht="15" hidden="false" customHeight="false" outlineLevel="0" collapsed="false">
      <c r="A19" s="5" t="s">
        <v>17</v>
      </c>
      <c r="B19" s="4"/>
      <c r="C19" s="4"/>
      <c r="D19" s="4"/>
      <c r="E19" s="4"/>
      <c r="F19" s="4"/>
      <c r="G19" s="4"/>
    </row>
    <row r="20" customFormat="false" ht="15" hidden="false" customHeight="false" outlineLevel="0" collapsed="false">
      <c r="A20" s="7"/>
      <c r="B20" s="8" t="s">
        <v>18</v>
      </c>
      <c r="C20" s="8" t="s">
        <v>19</v>
      </c>
      <c r="D20" s="8" t="s">
        <v>20</v>
      </c>
      <c r="E20" s="8" t="s">
        <v>21</v>
      </c>
      <c r="F20" s="8" t="s">
        <v>22</v>
      </c>
      <c r="G20" s="8" t="s">
        <v>23</v>
      </c>
      <c r="H20" s="14"/>
    </row>
    <row r="21" customFormat="false" ht="17.25" hidden="false" customHeight="false" outlineLevel="0" collapsed="false">
      <c r="A21" s="9" t="s">
        <v>24</v>
      </c>
      <c r="B21" s="3" t="n">
        <f aca="false">(8.1+3.4+4.25)*B5-B22</f>
        <v>42.8525</v>
      </c>
      <c r="C21" s="3" t="n">
        <f aca="false">3*(2.82*B6-2.82*(B6-(1.58/4.4*B6))/2)-C22</f>
        <v>17.7684959090909</v>
      </c>
      <c r="D21" s="3" t="n">
        <f aca="false">(3.7+3.05)*B5-D22</f>
        <v>18.4725</v>
      </c>
      <c r="E21" s="3" t="n">
        <f aca="false">2.82*B6-2.82*(B6-(1.58/4.4*B6))/2-E22</f>
        <v>6.08949863636364</v>
      </c>
      <c r="F21" s="3" t="n">
        <f aca="false">(3.4+2.2)*B5+1.58*(1.58/4.4*B6)/2</f>
        <v>18.2785013636364</v>
      </c>
      <c r="G21" s="3" t="n">
        <f aca="false">1*B5+1.9*B5-G25</f>
        <v>6.753</v>
      </c>
      <c r="H21" s="14"/>
    </row>
    <row r="22" customFormat="false" ht="17.25" hidden="false" customHeight="false" outlineLevel="0" collapsed="false">
      <c r="A22" s="9" t="s">
        <v>25</v>
      </c>
      <c r="B22" s="10" t="n">
        <v>5.5</v>
      </c>
      <c r="C22" s="10" t="n">
        <v>4.25</v>
      </c>
      <c r="D22" s="10" t="n">
        <v>2.25</v>
      </c>
      <c r="E22" s="10" t="n">
        <v>1.25</v>
      </c>
      <c r="F22" s="10" t="n">
        <v>4.75</v>
      </c>
      <c r="G22" s="10" t="n">
        <v>0</v>
      </c>
      <c r="H22" s="14"/>
    </row>
    <row r="23" customFormat="false" ht="17.25" hidden="false" customHeight="false" outlineLevel="0" collapsed="false">
      <c r="A23" s="9" t="s">
        <v>26</v>
      </c>
      <c r="B23" s="10" t="n">
        <v>0</v>
      </c>
      <c r="C23" s="10" t="n">
        <f aca="false">2*7.5*5.88-B23-D23-E23-F23-G23</f>
        <v>23.0148545454545</v>
      </c>
      <c r="D23" s="10" t="n">
        <f aca="false">0</f>
        <v>0</v>
      </c>
      <c r="E23" s="10" t="n">
        <f aca="false">2.2*(5.88-(5.88*2.82/4.4))</f>
        <v>4.6452</v>
      </c>
      <c r="F23" s="10" t="n">
        <f aca="false">7.5*(5.88-(5.88*1.58/4.4))*2</f>
        <v>56.5281818181818</v>
      </c>
      <c r="G23" s="10" t="n">
        <f aca="false">1.9*(5.88-(5.88*2.82/4.4))</f>
        <v>4.01176363636364</v>
      </c>
      <c r="H23" s="14" t="n">
        <f aca="false">SUM(B21:G21)+SUM(B22:G22)+SUM(B23:G23)</f>
        <v>216.414495909091</v>
      </c>
    </row>
    <row r="24" customFormat="false" ht="17.25" hidden="false" customHeight="false" outlineLevel="0" collapsed="false">
      <c r="A24" s="9" t="s">
        <v>27</v>
      </c>
      <c r="B24" s="10" t="n">
        <v>31.54</v>
      </c>
      <c r="C24" s="10" t="n">
        <v>0</v>
      </c>
      <c r="D24" s="10" t="n">
        <v>11.29</v>
      </c>
      <c r="E24" s="10" t="n">
        <v>0</v>
      </c>
      <c r="F24" s="3" t="n">
        <f aca="false">2.2*3.4</f>
        <v>7.48</v>
      </c>
      <c r="G24" s="3" t="n">
        <f aca="false">6.46+3.05</f>
        <v>9.51</v>
      </c>
      <c r="H24" s="14"/>
    </row>
    <row r="25" customFormat="false" ht="17.25" hidden="false" customHeight="false" outlineLevel="0" collapsed="false">
      <c r="A25" s="9" t="s">
        <v>28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2.15</v>
      </c>
      <c r="H25" s="14"/>
    </row>
    <row r="26" customFormat="false" ht="17.25" hidden="false" customHeight="false" outlineLevel="0" collapsed="false">
      <c r="A26" s="9" t="s">
        <v>29</v>
      </c>
      <c r="B26" s="10" t="n">
        <v>0</v>
      </c>
      <c r="C26" s="10" t="n">
        <v>0</v>
      </c>
      <c r="D26" s="10" t="n">
        <v>0</v>
      </c>
      <c r="E26" s="10" t="n">
        <v>0</v>
      </c>
      <c r="F26" s="10" t="n">
        <v>0</v>
      </c>
      <c r="G26" s="10" t="n">
        <v>0</v>
      </c>
      <c r="H26" s="14"/>
    </row>
    <row r="27" customFormat="false" ht="17.25" hidden="false" customHeight="true" outlineLevel="0" collapsed="false">
      <c r="A27" s="9" t="s">
        <v>30</v>
      </c>
      <c r="B27" s="3" t="n">
        <f aca="false">(8.1+0.85)*B5</f>
        <v>27.4765</v>
      </c>
      <c r="C27" s="3" t="n">
        <f aca="false">(2.2+1.9)*B6+(2.82*B6-2.82*(B6-(1.58/4.4*B6))/2)</f>
        <v>23.0424986363636</v>
      </c>
      <c r="D27" s="3" t="n">
        <f aca="false">(3.7+3.05)*B5</f>
        <v>20.7225</v>
      </c>
      <c r="E27" s="3" t="n">
        <f aca="false">(2.2)*B6+(2.82*B6-2.82*(B6-(1.58/4.4*B6))/2)</f>
        <v>15.7654986363636</v>
      </c>
      <c r="F27" s="3" t="n">
        <f aca="false">(3.4+2.2)*B5+2*7.5*(1.58/4.4*B6)</f>
        <v>37.8217727272727</v>
      </c>
      <c r="G27" s="3" t="n">
        <f aca="false">(2*3.05+2*3.4+1.9+1)*B5+1.9*B6+(2.82*B6-2.82*(B6-(1.58/4.4*B6))/2)*2</f>
        <v>70.4619972727273</v>
      </c>
      <c r="H27" s="14"/>
    </row>
    <row r="28" customFormat="false" ht="15" hidden="false" customHeight="false" outlineLevel="0" collapsed="false">
      <c r="B28" s="11"/>
      <c r="D28" s="11"/>
      <c r="E28" s="11"/>
      <c r="F28" s="11"/>
      <c r="G28" s="11"/>
    </row>
    <row r="29" customFormat="false" ht="15" hidden="false" customHeight="false" outlineLevel="0" collapsed="false">
      <c r="B29" s="12"/>
      <c r="C29" s="12"/>
      <c r="D29" s="12"/>
      <c r="E29" s="12"/>
      <c r="F29" s="12"/>
      <c r="G29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0" activeCellId="0" sqref="B20"/>
    </sheetView>
  </sheetViews>
  <sheetFormatPr defaultColWidth="11.421875" defaultRowHeight="15" zeroHeight="false" outlineLevelRow="0" outlineLevelCol="0"/>
  <cols>
    <col collapsed="false" customWidth="true" hidden="false" outlineLevel="0" max="1" min="1" style="0" width="22.42"/>
    <col collapsed="false" customWidth="true" hidden="false" outlineLevel="0" max="2" min="2" style="0" width="15.28"/>
    <col collapsed="false" customWidth="true" hidden="false" outlineLevel="0" max="3" min="3" style="0" width="12.7"/>
    <col collapsed="false" customWidth="true" hidden="false" outlineLevel="0" max="4" min="4" style="0" width="12.28"/>
    <col collapsed="false" customWidth="true" hidden="false" outlineLevel="0" max="5" min="5" style="0" width="11.7"/>
  </cols>
  <sheetData>
    <row r="1" customFormat="false" ht="15" hidden="false" customHeight="false" outlineLevel="0" collapsed="false">
      <c r="A1" s="1" t="s">
        <v>0</v>
      </c>
    </row>
    <row r="2" customFormat="false" ht="17.25" hidden="false" customHeight="false" outlineLevel="0" collapsed="false">
      <c r="A2" s="2" t="s">
        <v>1</v>
      </c>
      <c r="B2" s="3" t="n">
        <v>148.5</v>
      </c>
      <c r="C2" s="4"/>
      <c r="D2" s="4"/>
      <c r="E2" s="4"/>
      <c r="F2" s="4"/>
      <c r="G2" s="4"/>
    </row>
    <row r="3" customFormat="false" ht="17.25" hidden="false" customHeight="false" outlineLevel="0" collapsed="false">
      <c r="A3" s="2" t="s">
        <v>2</v>
      </c>
      <c r="B3" s="3" t="n">
        <v>148.5</v>
      </c>
      <c r="C3" s="4"/>
      <c r="D3" s="4"/>
      <c r="E3" s="4"/>
      <c r="F3" s="4"/>
      <c r="G3" s="4"/>
    </row>
    <row r="4" customFormat="false" ht="15" hidden="false" customHeight="false" outlineLevel="0" collapsed="false">
      <c r="A4" s="2" t="s">
        <v>3</v>
      </c>
      <c r="B4" s="3" t="n">
        <v>1</v>
      </c>
      <c r="C4" s="4"/>
      <c r="D4" s="4"/>
      <c r="E4" s="4"/>
      <c r="F4" s="4"/>
      <c r="G4" s="4"/>
    </row>
    <row r="5" customFormat="false" ht="17.25" hidden="false" customHeight="false" outlineLevel="0" collapsed="false">
      <c r="A5" s="2" t="s">
        <v>4</v>
      </c>
      <c r="B5" s="3" t="n">
        <v>2.85</v>
      </c>
      <c r="C5" s="4"/>
      <c r="D5" s="4"/>
      <c r="E5" s="4"/>
      <c r="F5" s="4"/>
      <c r="G5" s="4"/>
    </row>
    <row r="6" customFormat="false" ht="17.25" hidden="false" customHeight="false" outlineLevel="0" collapsed="false">
      <c r="A6" s="2" t="s">
        <v>5</v>
      </c>
      <c r="B6" s="3" t="n">
        <v>0</v>
      </c>
      <c r="C6" s="4"/>
      <c r="D6" s="4"/>
      <c r="E6" s="4"/>
      <c r="F6" s="4"/>
      <c r="G6" s="4"/>
    </row>
    <row r="7" customFormat="false" ht="17.25" hidden="false" customHeight="false" outlineLevel="0" collapsed="false">
      <c r="A7" s="2" t="s">
        <v>6</v>
      </c>
      <c r="B7" s="3" t="n">
        <v>0</v>
      </c>
      <c r="C7" s="4"/>
      <c r="D7" s="4"/>
      <c r="E7" s="4"/>
      <c r="F7" s="4"/>
      <c r="G7" s="4"/>
    </row>
    <row r="8" customFormat="false" ht="17.25" hidden="false" customHeight="false" outlineLevel="0" collapsed="false">
      <c r="A8" s="2" t="s">
        <v>7</v>
      </c>
      <c r="B8" s="3" t="n">
        <v>0</v>
      </c>
      <c r="C8" s="4"/>
      <c r="D8" s="4"/>
      <c r="E8" s="4"/>
      <c r="F8" s="4"/>
      <c r="G8" s="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</row>
    <row r="10" customFormat="false" ht="15" hidden="false" customHeight="false" outlineLevel="0" collapsed="false">
      <c r="A10" s="5" t="s">
        <v>8</v>
      </c>
      <c r="B10" s="4"/>
      <c r="C10" s="4"/>
      <c r="D10" s="4"/>
      <c r="E10" s="4"/>
      <c r="F10" s="4"/>
      <c r="G10" s="4"/>
    </row>
    <row r="11" customFormat="false" ht="16.5" hidden="false" customHeight="false" outlineLevel="0" collapsed="false">
      <c r="A11" s="6"/>
      <c r="B11" s="15" t="s">
        <v>9</v>
      </c>
      <c r="C11" s="15" t="s">
        <v>10</v>
      </c>
      <c r="D11" s="4"/>
      <c r="E11" s="4"/>
      <c r="F11" s="4"/>
      <c r="G11" s="4"/>
    </row>
    <row r="12" customFormat="false" ht="17.25" hidden="false" customHeight="false" outlineLevel="0" collapsed="false">
      <c r="A12" s="2" t="s">
        <v>11</v>
      </c>
      <c r="B12" s="16" t="n">
        <f aca="false">7.7*4.75+(3.5*3.5-1.33)</f>
        <v>47.495</v>
      </c>
      <c r="C12" s="17" t="n">
        <f aca="false">47.5*B5</f>
        <v>135.375</v>
      </c>
      <c r="D12" s="4"/>
      <c r="E12" s="4"/>
      <c r="F12" s="4"/>
      <c r="G12" s="4"/>
    </row>
    <row r="13" customFormat="false" ht="17.25" hidden="false" customHeight="false" outlineLevel="0" collapsed="false">
      <c r="A13" s="2" t="s">
        <v>12</v>
      </c>
      <c r="B13" s="16" t="n">
        <f aca="false">3.5*6+10.3*4.75-6.3*1</f>
        <v>63.625</v>
      </c>
      <c r="C13" s="17" t="n">
        <f aca="false">63.6*B5</f>
        <v>181.26</v>
      </c>
      <c r="D13" s="4"/>
      <c r="E13" s="4"/>
      <c r="F13" s="4"/>
      <c r="G13" s="4"/>
    </row>
    <row r="14" customFormat="false" ht="17.25" hidden="false" customHeight="false" outlineLevel="0" collapsed="false">
      <c r="A14" s="2" t="s">
        <v>13</v>
      </c>
      <c r="B14" s="16" t="n">
        <f aca="false">4.6*3.5-1*2.5</f>
        <v>13.6</v>
      </c>
      <c r="C14" s="17" t="n">
        <f aca="false">13.6*B5</f>
        <v>38.76</v>
      </c>
      <c r="D14" s="4"/>
      <c r="E14" s="4"/>
      <c r="F14" s="4"/>
      <c r="G14" s="4"/>
    </row>
    <row r="15" customFormat="false" ht="17.25" hidden="false" customHeight="false" outlineLevel="0" collapsed="false">
      <c r="A15" s="2" t="s">
        <v>14</v>
      </c>
      <c r="B15" s="16" t="n">
        <f aca="false">7</f>
        <v>7</v>
      </c>
      <c r="C15" s="17" t="n">
        <f aca="false">7*B5</f>
        <v>19.95</v>
      </c>
      <c r="D15" s="4"/>
      <c r="E15" s="4"/>
      <c r="F15" s="4"/>
      <c r="G15" s="4"/>
    </row>
    <row r="16" customFormat="false" ht="17.25" hidden="false" customHeight="false" outlineLevel="0" collapsed="false">
      <c r="A16" s="2" t="s">
        <v>15</v>
      </c>
      <c r="B16" s="16" t="n">
        <f aca="false">2.5+1.3</f>
        <v>3.8</v>
      </c>
      <c r="C16" s="17" t="n">
        <f aca="false">3.8*B5</f>
        <v>10.83</v>
      </c>
      <c r="D16" s="4"/>
      <c r="E16" s="4"/>
      <c r="F16" s="4"/>
      <c r="G16" s="4"/>
    </row>
    <row r="17" customFormat="false" ht="17.25" hidden="false" customHeight="false" outlineLevel="0" collapsed="false">
      <c r="A17" s="2" t="s">
        <v>16</v>
      </c>
      <c r="B17" s="16" t="n">
        <f aca="false">6.3+1.9*3.5</f>
        <v>12.95</v>
      </c>
      <c r="C17" s="17" t="n">
        <f aca="false">12.95*B5</f>
        <v>36.9075</v>
      </c>
      <c r="D17" s="4"/>
      <c r="E17" s="4"/>
      <c r="F17" s="4"/>
      <c r="G17" s="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</row>
    <row r="19" customFormat="false" ht="15" hidden="false" customHeight="false" outlineLevel="0" collapsed="false">
      <c r="A19" s="5" t="s">
        <v>17</v>
      </c>
      <c r="B19" s="4"/>
      <c r="C19" s="4"/>
      <c r="D19" s="4"/>
      <c r="E19" s="4"/>
      <c r="F19" s="4"/>
      <c r="G19" s="4"/>
    </row>
    <row r="20" customFormat="false" ht="15" hidden="false" customHeight="false" outlineLevel="0" collapsed="false">
      <c r="A20" s="7"/>
      <c r="B20" s="8" t="s">
        <v>18</v>
      </c>
      <c r="C20" s="8" t="s">
        <v>19</v>
      </c>
      <c r="D20" s="8" t="s">
        <v>20</v>
      </c>
      <c r="E20" s="8" t="s">
        <v>21</v>
      </c>
      <c r="F20" s="8" t="s">
        <v>22</v>
      </c>
      <c r="G20" s="8" t="s">
        <v>23</v>
      </c>
      <c r="H20" s="14"/>
    </row>
    <row r="21" customFormat="false" ht="17.25" hidden="false" customHeight="false" outlineLevel="0" collapsed="false">
      <c r="A21" s="9" t="s">
        <v>24</v>
      </c>
      <c r="B21" s="10" t="n">
        <f aca="false">(7.7+8.25+2.5)*B5-B22</f>
        <v>36.3225</v>
      </c>
      <c r="C21" s="10" t="n">
        <f aca="false">(10.3+8.25+6)*B5-C22</f>
        <v>45.7375</v>
      </c>
      <c r="D21" s="10" t="n">
        <f aca="false">3.6*B5-D22</f>
        <v>4.26</v>
      </c>
      <c r="E21" s="10" t="n">
        <f aca="false">2*B5</f>
        <v>5.7</v>
      </c>
      <c r="F21" s="10" t="n">
        <f aca="false">2*B5</f>
        <v>5.7</v>
      </c>
      <c r="G21" s="10" t="n">
        <f aca="false">1.9*B5-G25</f>
        <v>3.265</v>
      </c>
      <c r="H21" s="14"/>
    </row>
    <row r="22" customFormat="false" ht="17.25" hidden="false" customHeight="false" outlineLevel="0" collapsed="false">
      <c r="A22" s="9" t="s">
        <v>25</v>
      </c>
      <c r="B22" s="16" t="n">
        <f aca="false">11.76+4.5</f>
        <v>16.26</v>
      </c>
      <c r="C22" s="16" t="n">
        <f aca="false">8.23+13+3</f>
        <v>24.23</v>
      </c>
      <c r="D22" s="16" t="n">
        <f aca="false">6</f>
        <v>6</v>
      </c>
      <c r="E22" s="10" t="n">
        <v>0</v>
      </c>
      <c r="F22" s="10" t="n">
        <v>0</v>
      </c>
      <c r="G22" s="10" t="n">
        <v>0</v>
      </c>
      <c r="H22" s="14"/>
    </row>
    <row r="23" customFormat="false" ht="17.25" hidden="false" customHeight="false" outlineLevel="0" collapsed="false">
      <c r="A23" s="9" t="s">
        <v>26</v>
      </c>
      <c r="B23" s="10" t="n">
        <v>47.5</v>
      </c>
      <c r="C23" s="10" t="n">
        <v>63.6</v>
      </c>
      <c r="D23" s="10" t="n">
        <v>13.6</v>
      </c>
      <c r="E23" s="10" t="n">
        <v>7</v>
      </c>
      <c r="F23" s="10" t="n">
        <v>3.8</v>
      </c>
      <c r="G23" s="10" t="n">
        <v>12.95</v>
      </c>
      <c r="H23" s="14" t="n">
        <f aca="false">SUM(B21:G21)+SUM(B22:G22)+SUM(B23:G23)</f>
        <v>295.925</v>
      </c>
    </row>
    <row r="24" customFormat="false" ht="17.25" hidden="false" customHeight="false" outlineLevel="0" collapsed="false">
      <c r="A24" s="9" t="s">
        <v>27</v>
      </c>
      <c r="B24" s="10" t="n">
        <v>47.5</v>
      </c>
      <c r="C24" s="10" t="n">
        <v>63.6</v>
      </c>
      <c r="D24" s="10" t="n">
        <v>13.6</v>
      </c>
      <c r="E24" s="10" t="n">
        <v>7</v>
      </c>
      <c r="F24" s="10" t="n">
        <v>3.8</v>
      </c>
      <c r="G24" s="10" t="n">
        <v>12.95</v>
      </c>
      <c r="H24" s="14"/>
    </row>
    <row r="25" customFormat="false" ht="17.25" hidden="false" customHeight="false" outlineLevel="0" collapsed="false">
      <c r="A25" s="9" t="s">
        <v>28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2.15</v>
      </c>
      <c r="H25" s="14"/>
    </row>
    <row r="26" customFormat="false" ht="17.25" hidden="false" customHeight="false" outlineLevel="0" collapsed="false">
      <c r="A26" s="9" t="s">
        <v>29</v>
      </c>
      <c r="B26" s="10" t="n">
        <v>0</v>
      </c>
      <c r="C26" s="10" t="n">
        <v>0</v>
      </c>
      <c r="D26" s="10" t="n">
        <v>0</v>
      </c>
      <c r="E26" s="10" t="n">
        <v>0</v>
      </c>
      <c r="F26" s="10" t="n">
        <v>0</v>
      </c>
      <c r="G26" s="10" t="n">
        <v>0</v>
      </c>
      <c r="H26" s="14"/>
    </row>
    <row r="27" customFormat="false" ht="17.25" hidden="false" customHeight="true" outlineLevel="0" collapsed="false">
      <c r="A27" s="9" t="s">
        <v>30</v>
      </c>
      <c r="B27" s="10" t="n">
        <f aca="false">(4.75+3.5+1+1.9+2.3)*B5</f>
        <v>38.3325</v>
      </c>
      <c r="C27" s="10" t="n">
        <f aca="false">(3.5+2+1+2+4.3+3.75)*B5</f>
        <v>47.1675</v>
      </c>
      <c r="D27" s="10" t="n">
        <f aca="false">(3.5+3.6+1+3.5)*B5</f>
        <v>33.06</v>
      </c>
      <c r="E27" s="10" t="n">
        <f aca="false">(3.5+2+3.5)*B5</f>
        <v>25.65</v>
      </c>
      <c r="F27" s="10" t="n">
        <f aca="false">(2.5+1+2.5+1+1.33+1.33)*B5</f>
        <v>27.531</v>
      </c>
      <c r="G27" s="10" t="n">
        <f aca="false">(3.5+1.9+3.5+1+6.3+1+6.3)*B5</f>
        <v>66.975</v>
      </c>
      <c r="H27" s="14"/>
    </row>
    <row r="28" customFormat="false" ht="15" hidden="false" customHeight="false" outlineLevel="0" collapsed="false">
      <c r="B28" s="11"/>
      <c r="D28" s="11"/>
      <c r="E28" s="11"/>
      <c r="F28" s="11"/>
      <c r="G28" s="11"/>
    </row>
    <row r="29" customFormat="false" ht="15" hidden="false" customHeight="false" outlineLevel="0" collapsed="false">
      <c r="B29" s="12"/>
      <c r="C29" s="12"/>
      <c r="D29" s="12"/>
      <c r="E29" s="12"/>
      <c r="F29" s="12"/>
      <c r="G29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421875" defaultRowHeight="15" zeroHeight="false" outlineLevelRow="0" outlineLevelCol="0"/>
  <cols>
    <col collapsed="false" customWidth="true" hidden="false" outlineLevel="0" max="1" min="1" style="0" width="22.42"/>
    <col collapsed="false" customWidth="true" hidden="false" outlineLevel="0" max="2" min="2" style="0" width="15.28"/>
    <col collapsed="false" customWidth="true" hidden="false" outlineLevel="0" max="3" min="3" style="0" width="12.7"/>
    <col collapsed="false" customWidth="true" hidden="false" outlineLevel="0" max="4" min="4" style="0" width="12.28"/>
    <col collapsed="false" customWidth="true" hidden="false" outlineLevel="0" max="5" min="5" style="0" width="11.7"/>
  </cols>
  <sheetData>
    <row r="1" customFormat="false" ht="15" hidden="false" customHeight="false" outlineLevel="0" collapsed="false">
      <c r="A1" s="1" t="s">
        <v>0</v>
      </c>
    </row>
    <row r="2" customFormat="false" ht="17.25" hidden="false" customHeight="false" outlineLevel="0" collapsed="false">
      <c r="A2" s="2" t="s">
        <v>1</v>
      </c>
      <c r="B2" s="3" t="n">
        <f aca="false">7.6*10.7*2</f>
        <v>162.64</v>
      </c>
      <c r="C2" s="4"/>
      <c r="D2" s="4"/>
      <c r="E2" s="4"/>
      <c r="F2" s="4"/>
      <c r="G2" s="4"/>
    </row>
    <row r="3" customFormat="false" ht="17.25" hidden="false" customHeight="false" outlineLevel="0" collapsed="false">
      <c r="A3" s="2" t="s">
        <v>2</v>
      </c>
      <c r="B3" s="3" t="n">
        <f aca="false">81.32</f>
        <v>81.32</v>
      </c>
      <c r="C3" s="4"/>
      <c r="D3" s="4"/>
      <c r="E3" s="4"/>
      <c r="F3" s="4"/>
      <c r="G3" s="4"/>
    </row>
    <row r="4" customFormat="false" ht="15" hidden="false" customHeight="false" outlineLevel="0" collapsed="false">
      <c r="A4" s="2" t="s">
        <v>3</v>
      </c>
      <c r="B4" s="3" t="n">
        <f aca="false">2</f>
        <v>2</v>
      </c>
      <c r="C4" s="4"/>
      <c r="D4" s="4"/>
      <c r="E4" s="4"/>
      <c r="F4" s="4"/>
      <c r="G4" s="4"/>
    </row>
    <row r="5" customFormat="false" ht="17.25" hidden="false" customHeight="false" outlineLevel="0" collapsed="false">
      <c r="A5" s="2" t="s">
        <v>4</v>
      </c>
      <c r="B5" s="3" t="n">
        <f aca="false">3</f>
        <v>3</v>
      </c>
      <c r="C5" s="4"/>
      <c r="D5" s="4"/>
      <c r="E5" s="4"/>
      <c r="F5" s="4"/>
      <c r="G5" s="4"/>
    </row>
    <row r="6" customFormat="false" ht="17.25" hidden="false" customHeight="false" outlineLevel="0" collapsed="false">
      <c r="A6" s="2" t="s">
        <v>5</v>
      </c>
      <c r="B6" s="3" t="n">
        <f aca="false">3</f>
        <v>3</v>
      </c>
      <c r="C6" s="4"/>
      <c r="D6" s="4"/>
      <c r="E6" s="4"/>
      <c r="F6" s="4"/>
      <c r="G6" s="4"/>
    </row>
    <row r="7" customFormat="false" ht="17.25" hidden="false" customHeight="false" outlineLevel="0" collapsed="false">
      <c r="A7" s="2" t="s">
        <v>6</v>
      </c>
      <c r="B7" s="3" t="n">
        <v>0</v>
      </c>
      <c r="C7" s="4"/>
      <c r="D7" s="4"/>
      <c r="E7" s="4"/>
      <c r="F7" s="4"/>
      <c r="G7" s="4"/>
    </row>
    <row r="8" customFormat="false" ht="17.25" hidden="false" customHeight="false" outlineLevel="0" collapsed="false">
      <c r="A8" s="2" t="s">
        <v>7</v>
      </c>
      <c r="B8" s="3" t="n">
        <v>0</v>
      </c>
      <c r="C8" s="4"/>
      <c r="D8" s="4"/>
      <c r="E8" s="4"/>
      <c r="F8" s="4"/>
      <c r="G8" s="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</row>
    <row r="10" customFormat="false" ht="15" hidden="false" customHeight="false" outlineLevel="0" collapsed="false">
      <c r="A10" s="5" t="s">
        <v>8</v>
      </c>
      <c r="B10" s="4"/>
      <c r="C10" s="4"/>
      <c r="D10" s="4"/>
      <c r="E10" s="4"/>
      <c r="F10" s="4"/>
      <c r="G10" s="4"/>
    </row>
    <row r="11" customFormat="false" ht="16.5" hidden="false" customHeight="false" outlineLevel="0" collapsed="false">
      <c r="A11" s="6"/>
      <c r="B11" s="15" t="s">
        <v>9</v>
      </c>
      <c r="C11" s="15" t="s">
        <v>10</v>
      </c>
      <c r="D11" s="4"/>
      <c r="E11" s="4"/>
      <c r="F11" s="4"/>
      <c r="G11" s="4"/>
    </row>
    <row r="12" customFormat="false" ht="17.25" hidden="false" customHeight="false" outlineLevel="0" collapsed="false">
      <c r="A12" s="2" t="s">
        <v>11</v>
      </c>
      <c r="B12" s="13" t="n">
        <f aca="false">4.3*7.6</f>
        <v>32.68</v>
      </c>
      <c r="C12" s="13" t="n">
        <f aca="false">32.68*B5</f>
        <v>98.04</v>
      </c>
      <c r="D12" s="4"/>
      <c r="E12" s="4" t="n">
        <f aca="false">SUM(C12:C15)</f>
        <v>224.998</v>
      </c>
      <c r="F12" s="4"/>
      <c r="G12" s="4"/>
    </row>
    <row r="13" customFormat="false" ht="17.25" hidden="false" customHeight="false" outlineLevel="0" collapsed="false">
      <c r="A13" s="2" t="s">
        <v>12</v>
      </c>
      <c r="B13" s="13" t="n">
        <f aca="false">81.32-(2.9*3.8+1)-11.02</f>
        <v>58.28</v>
      </c>
      <c r="C13" s="13" t="n">
        <f aca="false">(3.8*2.8*10.7)-C15-(3.8*B6)/2*2.9</f>
        <v>80.788</v>
      </c>
      <c r="D13" s="4"/>
      <c r="E13" s="4"/>
      <c r="F13" s="4"/>
      <c r="G13" s="4"/>
    </row>
    <row r="14" customFormat="false" ht="17.25" hidden="false" customHeight="false" outlineLevel="0" collapsed="false">
      <c r="A14" s="2" t="s">
        <v>13</v>
      </c>
      <c r="B14" s="13" t="n">
        <f aca="false">2.6*3.8</f>
        <v>9.88</v>
      </c>
      <c r="C14" s="13" t="n">
        <f aca="false">9.88*B5</f>
        <v>29.64</v>
      </c>
      <c r="D14" s="4"/>
      <c r="E14" s="4"/>
      <c r="F14" s="4"/>
      <c r="G14" s="4"/>
    </row>
    <row r="15" customFormat="false" ht="17.25" hidden="false" customHeight="false" outlineLevel="0" collapsed="false">
      <c r="A15" s="2" t="s">
        <v>14</v>
      </c>
      <c r="B15" s="13" t="n">
        <f aca="false">2.9*3.8</f>
        <v>11.02</v>
      </c>
      <c r="C15" s="13" t="n">
        <f aca="false">(3.8*B6)/2*2.9</f>
        <v>16.53</v>
      </c>
      <c r="D15" s="4"/>
      <c r="E15" s="4"/>
      <c r="F15" s="4"/>
      <c r="G15" s="4"/>
    </row>
    <row r="16" customFormat="false" ht="17.25" hidden="false" customHeight="false" outlineLevel="0" collapsed="false">
      <c r="A16" s="2" t="s">
        <v>15</v>
      </c>
      <c r="B16" s="13" t="n">
        <f aca="false">(3.5*7.6)-2.6*0.9</f>
        <v>24.26</v>
      </c>
      <c r="C16" s="13" t="n">
        <f aca="false">24.26*B5</f>
        <v>72.78</v>
      </c>
      <c r="D16" s="4"/>
      <c r="E16" s="4"/>
      <c r="F16" s="4"/>
      <c r="G16" s="4"/>
    </row>
    <row r="17" customFormat="false" ht="17.25" hidden="false" customHeight="false" outlineLevel="0" collapsed="false">
      <c r="A17" s="2" t="s">
        <v>16</v>
      </c>
      <c r="B17" s="13" t="n">
        <f aca="false">2.9*5+2.9*3.8+1</f>
        <v>26.52</v>
      </c>
      <c r="C17" s="13" t="n">
        <f aca="false">14.5*B5+(3.8*B6)/2*2.9</f>
        <v>60.03</v>
      </c>
      <c r="D17" s="4"/>
      <c r="E17" s="4"/>
      <c r="F17" s="4"/>
      <c r="G17" s="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</row>
    <row r="19" customFormat="false" ht="15" hidden="false" customHeight="false" outlineLevel="0" collapsed="false">
      <c r="A19" s="5" t="s">
        <v>17</v>
      </c>
      <c r="B19" s="4"/>
      <c r="C19" s="4"/>
      <c r="D19" s="4"/>
      <c r="E19" s="4"/>
      <c r="F19" s="4"/>
      <c r="G19" s="4"/>
    </row>
    <row r="20" customFormat="false" ht="15" hidden="false" customHeight="false" outlineLevel="0" collapsed="false">
      <c r="A20" s="7"/>
      <c r="B20" s="8" t="s">
        <v>18</v>
      </c>
      <c r="C20" s="8" t="s">
        <v>19</v>
      </c>
      <c r="D20" s="8" t="s">
        <v>20</v>
      </c>
      <c r="E20" s="8" t="s">
        <v>21</v>
      </c>
      <c r="F20" s="8" t="s">
        <v>22</v>
      </c>
      <c r="G20" s="8" t="s">
        <v>23</v>
      </c>
      <c r="H20" s="14"/>
    </row>
    <row r="21" customFormat="false" ht="17.25" hidden="false" customHeight="false" outlineLevel="0" collapsed="false">
      <c r="A21" s="9" t="s">
        <v>24</v>
      </c>
      <c r="B21" s="17" t="n">
        <f aca="false">(2*4.3+7.6)*B5-B22</f>
        <v>39.5</v>
      </c>
      <c r="C21" s="17" t="n">
        <f aca="false">3.8*B6*2-C22</f>
        <v>17.8</v>
      </c>
      <c r="D21" s="17" t="n">
        <f aca="false">(2.9+0.85)*B5</f>
        <v>11.25</v>
      </c>
      <c r="E21" s="17" t="n">
        <v>0</v>
      </c>
      <c r="F21" s="17" t="n">
        <f aca="false">(7.6+3.5+2.5)*B5</f>
        <v>40.8</v>
      </c>
      <c r="G21" s="17" t="n">
        <f aca="false">2.9*B5-G25</f>
        <v>6.55</v>
      </c>
      <c r="H21" s="14"/>
    </row>
    <row r="22" customFormat="false" ht="17.25" hidden="false" customHeight="false" outlineLevel="0" collapsed="false">
      <c r="A22" s="9" t="s">
        <v>25</v>
      </c>
      <c r="B22" s="17" t="n">
        <f aca="false">4.6+4.5</f>
        <v>9.1</v>
      </c>
      <c r="C22" s="17" t="n">
        <f aca="false">5</f>
        <v>5</v>
      </c>
      <c r="D22" s="17" t="n">
        <f aca="false">2.33</f>
        <v>2.33</v>
      </c>
      <c r="E22" s="17" t="n">
        <v>0</v>
      </c>
      <c r="F22" s="17" t="n">
        <f aca="false">2+4.5</f>
        <v>6.5</v>
      </c>
      <c r="G22" s="17" t="n">
        <v>0</v>
      </c>
      <c r="H22" s="14"/>
      <c r="I22" s="0" t="n">
        <f aca="false">SUM(B22:E22)</f>
        <v>16.43</v>
      </c>
    </row>
    <row r="23" customFormat="false" ht="17.25" hidden="false" customHeight="false" outlineLevel="0" collapsed="false">
      <c r="A23" s="9" t="s">
        <v>26</v>
      </c>
      <c r="B23" s="10" t="n">
        <v>0</v>
      </c>
      <c r="C23" s="13" t="n">
        <f aca="false">SQRT(B6^2+3.8^2)*10.7-E23-G23</f>
        <v>22.483288136344</v>
      </c>
      <c r="D23" s="17" t="n">
        <v>0</v>
      </c>
      <c r="E23" s="17" t="n">
        <f aca="false">2.9*SQRT(B6^2+3.8^2)</f>
        <v>14.0403133868158</v>
      </c>
      <c r="F23" s="17" t="n">
        <v>0</v>
      </c>
      <c r="G23" s="17" t="n">
        <f aca="false">(2.9*SQRT(B6^2+3.8^2))+(1*1.24)</f>
        <v>15.2803133868158</v>
      </c>
      <c r="H23" s="14" t="n">
        <f aca="false">SUM(B21:G21)+SUM(B22:G22)+SUM(B23:G23)</f>
        <v>190.633914909976</v>
      </c>
    </row>
    <row r="24" customFormat="false" ht="17.25" hidden="false" customHeight="false" outlineLevel="0" collapsed="false">
      <c r="A24" s="9" t="s">
        <v>27</v>
      </c>
      <c r="B24" s="17" t="n">
        <v>32.68</v>
      </c>
      <c r="C24" s="17" t="n">
        <v>0</v>
      </c>
      <c r="D24" s="17" t="n">
        <v>9.88</v>
      </c>
      <c r="E24" s="17" t="n">
        <v>0</v>
      </c>
      <c r="F24" s="17" t="n">
        <v>24.26</v>
      </c>
      <c r="G24" s="17" t="n">
        <v>14.5</v>
      </c>
      <c r="H24" s="14"/>
    </row>
    <row r="25" customFormat="false" ht="17.25" hidden="false" customHeight="false" outlineLevel="0" collapsed="false">
      <c r="A25" s="9" t="s">
        <v>28</v>
      </c>
      <c r="B25" s="17" t="n">
        <v>0</v>
      </c>
      <c r="C25" s="17" t="n">
        <v>0</v>
      </c>
      <c r="D25" s="17" t="n">
        <v>0</v>
      </c>
      <c r="E25" s="17" t="n">
        <v>0</v>
      </c>
      <c r="F25" s="17" t="n">
        <v>0</v>
      </c>
      <c r="G25" s="17" t="n">
        <v>2.15</v>
      </c>
      <c r="H25" s="14"/>
    </row>
    <row r="26" customFormat="false" ht="17.25" hidden="false" customHeight="false" outlineLevel="0" collapsed="false">
      <c r="A26" s="9" t="s">
        <v>29</v>
      </c>
      <c r="B26" s="17" t="n">
        <v>0</v>
      </c>
      <c r="C26" s="17" t="n">
        <v>0</v>
      </c>
      <c r="D26" s="17" t="n">
        <v>0</v>
      </c>
      <c r="E26" s="17" t="n">
        <v>0</v>
      </c>
      <c r="F26" s="17" t="n">
        <v>0</v>
      </c>
      <c r="G26" s="17" t="n">
        <v>0</v>
      </c>
      <c r="H26" s="14"/>
    </row>
    <row r="27" customFormat="false" ht="17.25" hidden="false" customHeight="true" outlineLevel="0" collapsed="false">
      <c r="A27" s="9" t="s">
        <v>30</v>
      </c>
      <c r="B27" s="17" t="n">
        <f aca="false">7.6*B5</f>
        <v>22.8</v>
      </c>
      <c r="C27" s="17" t="n">
        <f aca="false">2*3.8*B6+2.9*B6</f>
        <v>31.5</v>
      </c>
      <c r="D27" s="17" t="n">
        <f aca="false">(2.6+2.9+2.6)*B5</f>
        <v>24.3</v>
      </c>
      <c r="E27" s="17" t="n">
        <f aca="false">3.8*B6+2.9*B6</f>
        <v>20.1</v>
      </c>
      <c r="F27" s="17" t="n">
        <f aca="false">(7.6+1)*B5</f>
        <v>25.8</v>
      </c>
      <c r="G27" s="17" t="n">
        <f aca="false">(10+2.9)*B5+(3.8*B6)+(2.9*B6)</f>
        <v>58.8</v>
      </c>
      <c r="H27" s="14"/>
    </row>
    <row r="28" customFormat="false" ht="15" hidden="false" customHeight="false" outlineLevel="0" collapsed="false">
      <c r="B28" s="11"/>
      <c r="D28" s="11"/>
      <c r="E28" s="11"/>
      <c r="F28" s="11"/>
      <c r="G28" s="11"/>
    </row>
    <row r="29" customFormat="false" ht="15" hidden="false" customHeight="false" outlineLevel="0" collapsed="false">
      <c r="B29" s="12"/>
      <c r="C29" s="12"/>
      <c r="D29" s="12"/>
      <c r="E29" s="12"/>
      <c r="F29" s="12"/>
      <c r="G29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421875" defaultRowHeight="15" zeroHeight="false" outlineLevelRow="0" outlineLevelCol="0"/>
  <cols>
    <col collapsed="false" customWidth="true" hidden="false" outlineLevel="0" max="1" min="1" style="0" width="22.42"/>
    <col collapsed="false" customWidth="true" hidden="false" outlineLevel="0" max="2" min="2" style="0" width="15.28"/>
    <col collapsed="false" customWidth="true" hidden="false" outlineLevel="0" max="3" min="3" style="0" width="12.7"/>
    <col collapsed="false" customWidth="true" hidden="false" outlineLevel="0" max="4" min="4" style="0" width="12.28"/>
    <col collapsed="false" customWidth="true" hidden="false" outlineLevel="0" max="5" min="5" style="0" width="11.7"/>
  </cols>
  <sheetData>
    <row r="1" customFormat="false" ht="15" hidden="false" customHeight="false" outlineLevel="0" collapsed="false">
      <c r="A1" s="1" t="s">
        <v>0</v>
      </c>
    </row>
    <row r="2" customFormat="false" ht="17.25" hidden="false" customHeight="false" outlineLevel="0" collapsed="false">
      <c r="A2" s="2" t="s">
        <v>1</v>
      </c>
      <c r="B2" s="3" t="n">
        <v>102.96</v>
      </c>
      <c r="C2" s="4"/>
      <c r="D2" s="4"/>
      <c r="E2" s="4"/>
      <c r="F2" s="4"/>
      <c r="G2" s="4"/>
      <c r="H2" s="4"/>
      <c r="I2" s="14"/>
    </row>
    <row r="3" customFormat="false" ht="17.25" hidden="false" customHeight="false" outlineLevel="0" collapsed="false">
      <c r="A3" s="2" t="s">
        <v>2</v>
      </c>
      <c r="B3" s="3" t="n">
        <v>34.32</v>
      </c>
      <c r="C3" s="4"/>
      <c r="D3" s="4"/>
      <c r="E3" s="4"/>
      <c r="F3" s="4"/>
      <c r="G3" s="4"/>
      <c r="H3" s="4"/>
      <c r="I3" s="14"/>
    </row>
    <row r="4" customFormat="false" ht="15" hidden="false" customHeight="false" outlineLevel="0" collapsed="false">
      <c r="A4" s="2" t="s">
        <v>3</v>
      </c>
      <c r="B4" s="3" t="n">
        <v>3</v>
      </c>
      <c r="C4" s="4"/>
      <c r="D4" s="4"/>
      <c r="E4" s="4"/>
      <c r="F4" s="4"/>
      <c r="G4" s="4"/>
      <c r="H4" s="4"/>
      <c r="I4" s="14"/>
    </row>
    <row r="5" customFormat="false" ht="17.25" hidden="false" customHeight="false" outlineLevel="0" collapsed="false">
      <c r="A5" s="2" t="s">
        <v>4</v>
      </c>
      <c r="B5" s="3" t="n">
        <f aca="false">2.8</f>
        <v>2.8</v>
      </c>
      <c r="C5" s="4"/>
      <c r="D5" s="4"/>
      <c r="E5" s="4"/>
      <c r="F5" s="4"/>
      <c r="G5" s="4"/>
      <c r="H5" s="4"/>
      <c r="I5" s="14"/>
    </row>
    <row r="6" customFormat="false" ht="17.25" hidden="false" customHeight="false" outlineLevel="0" collapsed="false">
      <c r="A6" s="2" t="s">
        <v>5</v>
      </c>
      <c r="B6" s="3" t="n">
        <f aca="false">2.8</f>
        <v>2.8</v>
      </c>
      <c r="C6" s="4"/>
      <c r="D6" s="4"/>
      <c r="E6" s="4"/>
      <c r="F6" s="4"/>
      <c r="G6" s="4"/>
      <c r="H6" s="4"/>
      <c r="I6" s="14"/>
    </row>
    <row r="7" customFormat="false" ht="17.25" hidden="false" customHeight="false" outlineLevel="0" collapsed="false">
      <c r="A7" s="2" t="s">
        <v>6</v>
      </c>
      <c r="B7" s="3" t="n">
        <f aca="false">0.5+2.5</f>
        <v>3</v>
      </c>
      <c r="C7" s="4"/>
      <c r="D7" s="4"/>
      <c r="E7" s="4"/>
      <c r="F7" s="4"/>
      <c r="G7" s="4"/>
      <c r="H7" s="4"/>
      <c r="I7" s="14"/>
    </row>
    <row r="8" customFormat="false" ht="17.25" hidden="false" customHeight="false" outlineLevel="0" collapsed="false">
      <c r="A8" s="2" t="s">
        <v>7</v>
      </c>
      <c r="B8" s="3" t="n">
        <v>0</v>
      </c>
      <c r="C8" s="4"/>
      <c r="D8" s="4"/>
      <c r="E8" s="4"/>
      <c r="F8" s="4"/>
      <c r="G8" s="4"/>
      <c r="H8" s="4"/>
      <c r="I8" s="1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14"/>
    </row>
    <row r="10" customFormat="false" ht="15" hidden="false" customHeight="false" outlineLevel="0" collapsed="false">
      <c r="A10" s="5" t="s">
        <v>8</v>
      </c>
      <c r="B10" s="4"/>
      <c r="C10" s="4"/>
      <c r="D10" s="4"/>
      <c r="E10" s="4"/>
      <c r="F10" s="4"/>
      <c r="G10" s="4"/>
      <c r="H10" s="4"/>
      <c r="I10" s="14"/>
    </row>
    <row r="11" customFormat="false" ht="16.5" hidden="false" customHeight="false" outlineLevel="0" collapsed="false">
      <c r="A11" s="6"/>
      <c r="B11" s="15" t="s">
        <v>9</v>
      </c>
      <c r="C11" s="15" t="s">
        <v>10</v>
      </c>
      <c r="D11" s="4"/>
      <c r="E11" s="4"/>
      <c r="F11" s="4"/>
      <c r="G11" s="4"/>
      <c r="H11" s="4"/>
      <c r="I11" s="14"/>
    </row>
    <row r="12" customFormat="false" ht="17.25" hidden="false" customHeight="false" outlineLevel="0" collapsed="false">
      <c r="A12" s="2" t="s">
        <v>11</v>
      </c>
      <c r="B12" s="3" t="n">
        <f aca="false">4.2*4.4</f>
        <v>18.48</v>
      </c>
      <c r="C12" s="10" t="n">
        <f aca="false">18.5*B5</f>
        <v>51.8</v>
      </c>
      <c r="D12" s="4"/>
      <c r="E12" s="4"/>
      <c r="F12" s="4"/>
      <c r="G12" s="4"/>
      <c r="H12" s="4"/>
      <c r="I12" s="14"/>
    </row>
    <row r="13" customFormat="false" ht="17.25" hidden="false" customHeight="false" outlineLevel="0" collapsed="false">
      <c r="A13" s="2" t="s">
        <v>12</v>
      </c>
      <c r="B13" s="3" t="n">
        <f aca="false">2.7*3.3+3.3*4.2</f>
        <v>22.77</v>
      </c>
      <c r="C13" s="10" t="n">
        <f aca="false">22.77*B6</f>
        <v>63.756</v>
      </c>
      <c r="D13" s="4"/>
      <c r="E13" s="4"/>
      <c r="F13" s="4"/>
      <c r="G13" s="4"/>
      <c r="H13" s="4"/>
      <c r="I13" s="14"/>
    </row>
    <row r="14" customFormat="false" ht="17.25" hidden="false" customHeight="false" outlineLevel="0" collapsed="false">
      <c r="A14" s="2" t="s">
        <v>13</v>
      </c>
      <c r="B14" s="3" t="n">
        <f aca="false">2.2*2.4</f>
        <v>5.28</v>
      </c>
      <c r="C14" s="10" t="n">
        <f aca="false">5.28*B5</f>
        <v>14.784</v>
      </c>
      <c r="D14" s="4"/>
      <c r="E14" s="4"/>
      <c r="F14" s="4"/>
      <c r="G14" s="4"/>
      <c r="H14" s="4"/>
      <c r="I14" s="14"/>
    </row>
    <row r="15" customFormat="false" ht="17.25" hidden="false" customHeight="false" outlineLevel="0" collapsed="false">
      <c r="A15" s="2" t="s">
        <v>14</v>
      </c>
      <c r="B15" s="3" t="n">
        <f aca="false">2.5*1.4</f>
        <v>3.5</v>
      </c>
      <c r="C15" s="10" t="n">
        <f aca="false">3.5*B5</f>
        <v>9.8</v>
      </c>
      <c r="D15" s="4"/>
      <c r="E15" s="4"/>
      <c r="F15" s="4"/>
      <c r="G15" s="4"/>
      <c r="H15" s="4"/>
      <c r="I15" s="14"/>
    </row>
    <row r="16" customFormat="false" ht="17.25" hidden="false" customHeight="false" outlineLevel="0" collapsed="false">
      <c r="A16" s="2" t="s">
        <v>15</v>
      </c>
      <c r="B16" s="3" t="n">
        <f aca="false">6.16+34.32</f>
        <v>40.48</v>
      </c>
      <c r="C16" s="3" t="n">
        <f aca="false">6.16*B5+0.5*5.2*6.6+2.5*3.6*5.2</f>
        <v>81.208</v>
      </c>
      <c r="D16" s="4"/>
      <c r="E16" s="4"/>
      <c r="F16" s="4"/>
      <c r="G16" s="4"/>
      <c r="H16" s="4"/>
      <c r="I16" s="14"/>
    </row>
    <row r="17" customFormat="false" ht="17.25" hidden="false" customHeight="false" outlineLevel="0" collapsed="false">
      <c r="A17" s="2" t="s">
        <v>16</v>
      </c>
      <c r="B17" s="3" t="n">
        <f aca="false">B2-B12-B13-B14-B15-B16</f>
        <v>12.45</v>
      </c>
      <c r="C17" s="3" t="n">
        <f aca="false">12.43*B5</f>
        <v>34.804</v>
      </c>
      <c r="D17" s="4"/>
      <c r="E17" s="4"/>
      <c r="F17" s="4"/>
      <c r="G17" s="4"/>
      <c r="H17" s="4"/>
      <c r="I17" s="1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14"/>
    </row>
    <row r="19" customFormat="false" ht="15" hidden="false" customHeight="false" outlineLevel="0" collapsed="false">
      <c r="A19" s="5" t="s">
        <v>17</v>
      </c>
      <c r="B19" s="4"/>
      <c r="C19" s="4"/>
      <c r="D19" s="4"/>
      <c r="E19" s="4"/>
      <c r="F19" s="4"/>
      <c r="G19" s="4"/>
      <c r="H19" s="4"/>
      <c r="I19" s="14"/>
    </row>
    <row r="20" customFormat="false" ht="15" hidden="false" customHeight="false" outlineLevel="0" collapsed="false">
      <c r="A20" s="7"/>
      <c r="B20" s="8" t="s">
        <v>18</v>
      </c>
      <c r="C20" s="8" t="s">
        <v>19</v>
      </c>
      <c r="D20" s="8" t="s">
        <v>20</v>
      </c>
      <c r="E20" s="8" t="s">
        <v>21</v>
      </c>
      <c r="F20" s="8" t="s">
        <v>22</v>
      </c>
      <c r="G20" s="8" t="s">
        <v>23</v>
      </c>
      <c r="H20" s="4"/>
      <c r="I20" s="14"/>
    </row>
    <row r="21" customFormat="false" ht="17.25" hidden="false" customHeight="true" outlineLevel="0" collapsed="false">
      <c r="A21" s="9" t="s">
        <v>24</v>
      </c>
      <c r="B21" s="3" t="n">
        <f aca="false">(4.4+4.2)*B5-B22</f>
        <v>23.08</v>
      </c>
      <c r="C21" s="3" t="n">
        <f aca="false">(2.7+6.6+4.7)*B6-C22</f>
        <v>37.7</v>
      </c>
      <c r="D21" s="10" t="n">
        <f aca="false">2.4*B5-D22</f>
        <v>4.22</v>
      </c>
      <c r="E21" s="3" t="n">
        <f aca="false">2.5*B6-E22</f>
        <v>6.5</v>
      </c>
      <c r="F21" s="3" t="n">
        <f aca="false">0.5*(5.2*2+6.6*2)+(2.8+2.2)*B5+(3.3*2.5)*2-F22-F25</f>
        <v>39.65</v>
      </c>
      <c r="G21" s="3" t="n">
        <f aca="false">1*B6</f>
        <v>2.8</v>
      </c>
      <c r="H21" s="4"/>
      <c r="I21" s="14"/>
    </row>
    <row r="22" customFormat="false" ht="17.25" hidden="false" customHeight="false" outlineLevel="0" collapsed="false">
      <c r="A22" s="9" t="s">
        <v>25</v>
      </c>
      <c r="B22" s="10" t="n">
        <v>1</v>
      </c>
      <c r="C22" s="10" t="n">
        <v>1.5</v>
      </c>
      <c r="D22" s="10" t="n">
        <v>2.5</v>
      </c>
      <c r="E22" s="10" t="n">
        <v>0.5</v>
      </c>
      <c r="F22" s="10" t="n">
        <v>0.5</v>
      </c>
      <c r="G22" s="10" t="n">
        <v>0</v>
      </c>
      <c r="H22" s="4"/>
      <c r="I22" s="14"/>
    </row>
    <row r="23" customFormat="false" ht="17.25" hidden="false" customHeight="false" outlineLevel="0" collapsed="false">
      <c r="A23" s="9" t="s">
        <v>26</v>
      </c>
      <c r="B23" s="10" t="n">
        <v>0</v>
      </c>
      <c r="C23" s="10" t="n">
        <v>0</v>
      </c>
      <c r="D23" s="10" t="n">
        <v>0</v>
      </c>
      <c r="E23" s="10" t="n">
        <v>0</v>
      </c>
      <c r="F23" s="3" t="n">
        <f aca="false">3.6*5.2*2</f>
        <v>37.44</v>
      </c>
      <c r="G23" s="10" t="n">
        <v>0</v>
      </c>
      <c r="H23" s="4" t="n">
        <f aca="false">SUM(B21:G21)+SUM(B22:G22)+SUM(B23:G23)+SUM(B26:G26)</f>
        <v>194.35</v>
      </c>
      <c r="I23" s="14"/>
    </row>
    <row r="24" customFormat="false" ht="17.25" hidden="false" customHeight="false" outlineLevel="0" collapsed="false">
      <c r="A24" s="9" t="s">
        <v>27</v>
      </c>
      <c r="B24" s="10" t="n">
        <v>18.5</v>
      </c>
      <c r="C24" s="10" t="n">
        <v>0</v>
      </c>
      <c r="D24" s="10" t="n">
        <v>5.28</v>
      </c>
      <c r="E24" s="10" t="n">
        <v>0</v>
      </c>
      <c r="F24" s="10" t="n">
        <v>6.16</v>
      </c>
      <c r="G24" s="10" t="n">
        <v>4.4</v>
      </c>
      <c r="H24" s="4"/>
      <c r="I24" s="14"/>
    </row>
    <row r="25" customFormat="false" ht="17.25" hidden="false" customHeight="false" outlineLevel="0" collapsed="false">
      <c r="A25" s="9" t="s">
        <v>28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2.15</v>
      </c>
      <c r="G25" s="10" t="n">
        <v>2.15</v>
      </c>
      <c r="H25" s="4"/>
      <c r="I25" s="14"/>
    </row>
    <row r="26" customFormat="false" ht="17.25" hidden="false" customHeight="false" outlineLevel="0" collapsed="false">
      <c r="A26" s="9" t="s">
        <v>29</v>
      </c>
      <c r="B26" s="10" t="n">
        <v>0</v>
      </c>
      <c r="C26" s="10" t="n">
        <v>0</v>
      </c>
      <c r="D26" s="10" t="n">
        <f aca="false">2.2*B5</f>
        <v>6.16</v>
      </c>
      <c r="E26" s="10" t="n">
        <f aca="false">1.4*B6</f>
        <v>3.92</v>
      </c>
      <c r="F26" s="10" t="n">
        <v>0</v>
      </c>
      <c r="G26" s="10" t="n">
        <f aca="false">4.4*B5+5.2*B6</f>
        <v>26.88</v>
      </c>
      <c r="H26" s="4"/>
      <c r="I26" s="14"/>
    </row>
    <row r="27" customFormat="false" ht="17.25" hidden="false" customHeight="true" outlineLevel="0" collapsed="false">
      <c r="A27" s="9" t="s">
        <v>30</v>
      </c>
      <c r="B27" s="3" t="n">
        <f aca="false">(4.2+4.4)*B5</f>
        <v>24.08</v>
      </c>
      <c r="C27" s="3" t="n">
        <f aca="false">(3.3+1.5+3.3)*B6</f>
        <v>22.68</v>
      </c>
      <c r="D27" s="3" t="n">
        <f aca="false">(4.4+1)*B5+(1+2.5+2+1.5+3.3)*B6</f>
        <v>43.96</v>
      </c>
      <c r="E27" s="3" t="n">
        <f aca="false">(2.5+1.4)*B6</f>
        <v>10.92</v>
      </c>
      <c r="F27" s="3" t="n">
        <f aca="false">(2.8+2.2)*B5</f>
        <v>14</v>
      </c>
      <c r="G27" s="3" t="n">
        <f aca="false">4.4*B5</f>
        <v>12.32</v>
      </c>
      <c r="H27" s="4"/>
      <c r="I27" s="14"/>
    </row>
    <row r="28" customFormat="false" ht="15" hidden="false" customHeight="false" outlineLevel="0" collapsed="false">
      <c r="B28" s="11"/>
      <c r="E28" s="11"/>
      <c r="F28" s="11"/>
      <c r="G28" s="11"/>
    </row>
    <row r="29" customFormat="false" ht="15" hidden="false" customHeight="false" outlineLevel="0" collapsed="false">
      <c r="B29" s="12"/>
      <c r="C29" s="12"/>
      <c r="D29" s="12"/>
      <c r="E29" s="12"/>
      <c r="F29" s="12"/>
      <c r="G29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421875" defaultRowHeight="15" zeroHeight="false" outlineLevelRow="0" outlineLevelCol="0"/>
  <cols>
    <col collapsed="false" customWidth="true" hidden="false" outlineLevel="0" max="1" min="1" style="0" width="22.42"/>
    <col collapsed="false" customWidth="true" hidden="false" outlineLevel="0" max="2" min="2" style="0" width="15.28"/>
    <col collapsed="false" customWidth="true" hidden="false" outlineLevel="0" max="3" min="3" style="0" width="12.7"/>
    <col collapsed="false" customWidth="true" hidden="false" outlineLevel="0" max="4" min="4" style="0" width="12.28"/>
    <col collapsed="false" customWidth="true" hidden="false" outlineLevel="0" max="5" min="5" style="0" width="11.7"/>
  </cols>
  <sheetData>
    <row r="1" customFormat="false" ht="15" hidden="false" customHeight="false" outlineLevel="0" collapsed="false">
      <c r="A1" s="1" t="s">
        <v>0</v>
      </c>
    </row>
    <row r="2" customFormat="false" ht="17.25" hidden="false" customHeight="false" outlineLevel="0" collapsed="false">
      <c r="A2" s="2" t="s">
        <v>1</v>
      </c>
      <c r="B2" s="3" t="n">
        <f aca="false">5.5*11.5+2*(5.5*10)</f>
        <v>173.25</v>
      </c>
      <c r="C2" s="4"/>
      <c r="D2" s="4"/>
      <c r="E2" s="4"/>
      <c r="F2" s="4"/>
      <c r="G2" s="4"/>
      <c r="H2" s="4"/>
      <c r="I2" s="14"/>
    </row>
    <row r="3" customFormat="false" ht="17.25" hidden="false" customHeight="false" outlineLevel="0" collapsed="false">
      <c r="A3" s="2" t="s">
        <v>2</v>
      </c>
      <c r="B3" s="3" t="n">
        <f aca="false">63.2</f>
        <v>63.2</v>
      </c>
      <c r="C3" s="4"/>
      <c r="D3" s="4"/>
      <c r="E3" s="4"/>
      <c r="F3" s="4"/>
      <c r="G3" s="4"/>
      <c r="H3" s="4"/>
      <c r="I3" s="14"/>
    </row>
    <row r="4" customFormat="false" ht="15" hidden="false" customHeight="false" outlineLevel="0" collapsed="false">
      <c r="A4" s="2" t="s">
        <v>3</v>
      </c>
      <c r="B4" s="3" t="n">
        <v>3</v>
      </c>
      <c r="C4" s="4"/>
      <c r="D4" s="4"/>
      <c r="E4" s="4"/>
      <c r="F4" s="4"/>
      <c r="G4" s="4"/>
      <c r="H4" s="4"/>
      <c r="I4" s="14"/>
    </row>
    <row r="5" customFormat="false" ht="17.25" hidden="false" customHeight="false" outlineLevel="0" collapsed="false">
      <c r="A5" s="2" t="s">
        <v>4</v>
      </c>
      <c r="B5" s="3" t="n">
        <v>2.8</v>
      </c>
      <c r="C5" s="4"/>
      <c r="D5" s="4"/>
      <c r="E5" s="4"/>
      <c r="F5" s="4"/>
      <c r="G5" s="4"/>
      <c r="H5" s="4"/>
      <c r="I5" s="14"/>
    </row>
    <row r="6" customFormat="false" ht="17.25" hidden="false" customHeight="false" outlineLevel="0" collapsed="false">
      <c r="A6" s="2" t="s">
        <v>5</v>
      </c>
      <c r="B6" s="3" t="n">
        <v>2.8</v>
      </c>
      <c r="C6" s="4"/>
      <c r="D6" s="4"/>
      <c r="E6" s="4"/>
      <c r="F6" s="4"/>
      <c r="G6" s="4"/>
      <c r="H6" s="4"/>
      <c r="I6" s="14"/>
    </row>
    <row r="7" customFormat="false" ht="17.25" hidden="false" customHeight="false" outlineLevel="0" collapsed="false">
      <c r="A7" s="2" t="s">
        <v>6</v>
      </c>
      <c r="B7" s="3" t="n">
        <v>6</v>
      </c>
      <c r="C7" s="4"/>
      <c r="D7" s="4"/>
      <c r="E7" s="4"/>
      <c r="F7" s="4"/>
      <c r="G7" s="4"/>
      <c r="H7" s="4"/>
      <c r="I7" s="14"/>
    </row>
    <row r="8" customFormat="false" ht="17.25" hidden="false" customHeight="false" outlineLevel="0" collapsed="false">
      <c r="A8" s="2" t="s">
        <v>7</v>
      </c>
      <c r="B8" s="3" t="n">
        <v>0</v>
      </c>
      <c r="C8" s="4"/>
      <c r="D8" s="4"/>
      <c r="E8" s="4"/>
      <c r="F8" s="4"/>
      <c r="G8" s="4"/>
      <c r="H8" s="4"/>
      <c r="I8" s="1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14"/>
    </row>
    <row r="10" customFormat="false" ht="15" hidden="false" customHeight="false" outlineLevel="0" collapsed="false">
      <c r="A10" s="5" t="s">
        <v>8</v>
      </c>
      <c r="B10" s="4"/>
      <c r="C10" s="4"/>
      <c r="D10" s="4"/>
      <c r="E10" s="4"/>
      <c r="F10" s="4"/>
      <c r="G10" s="4"/>
      <c r="H10" s="4"/>
      <c r="I10" s="14"/>
    </row>
    <row r="11" customFormat="false" ht="16.5" hidden="false" customHeight="false" outlineLevel="0" collapsed="false">
      <c r="A11" s="6"/>
      <c r="B11" s="2" t="s">
        <v>9</v>
      </c>
      <c r="C11" s="2" t="s">
        <v>10</v>
      </c>
      <c r="D11" s="4"/>
      <c r="E11" s="4"/>
      <c r="F11" s="4"/>
      <c r="G11" s="4"/>
      <c r="H11" s="4"/>
      <c r="I11" s="14"/>
    </row>
    <row r="12" customFormat="false" ht="17.25" hidden="false" customHeight="false" outlineLevel="0" collapsed="false">
      <c r="A12" s="2" t="s">
        <v>11</v>
      </c>
      <c r="B12" s="3" t="n">
        <f aca="false">19.8+16.1</f>
        <v>35.9</v>
      </c>
      <c r="C12" s="3" t="n">
        <f aca="false">35.9*B5</f>
        <v>100.52</v>
      </c>
      <c r="D12" s="4"/>
      <c r="E12" s="4"/>
      <c r="F12" s="4"/>
      <c r="G12" s="4"/>
      <c r="H12" s="4"/>
      <c r="I12" s="14"/>
    </row>
    <row r="13" customFormat="false" ht="17.25" hidden="false" customHeight="false" outlineLevel="0" collapsed="false">
      <c r="A13" s="2" t="s">
        <v>12</v>
      </c>
      <c r="B13" s="3" t="n">
        <f aca="false">3.5*4.6+2.75*4.5</f>
        <v>28.475</v>
      </c>
      <c r="C13" s="3" t="n">
        <f aca="false">28.47*B6</f>
        <v>79.716</v>
      </c>
      <c r="D13" s="4"/>
      <c r="E13" s="4"/>
      <c r="F13" s="4"/>
      <c r="G13" s="4"/>
      <c r="H13" s="4"/>
      <c r="I13" s="14"/>
    </row>
    <row r="14" customFormat="false" ht="17.25" hidden="false" customHeight="false" outlineLevel="0" collapsed="false">
      <c r="A14" s="2" t="s">
        <v>13</v>
      </c>
      <c r="B14" s="3" t="n">
        <f aca="false">3*3.3</f>
        <v>9.9</v>
      </c>
      <c r="C14" s="3" t="n">
        <f aca="false">9.9*B5</f>
        <v>27.72</v>
      </c>
      <c r="D14" s="4"/>
      <c r="E14" s="4"/>
      <c r="F14" s="4"/>
      <c r="G14" s="4"/>
      <c r="H14" s="4"/>
      <c r="I14" s="14"/>
    </row>
    <row r="15" customFormat="false" ht="17.25" hidden="false" customHeight="false" outlineLevel="0" collapsed="false">
      <c r="A15" s="2" t="s">
        <v>14</v>
      </c>
      <c r="B15" s="3" t="n">
        <f aca="false">2.75*4.4</f>
        <v>12.1</v>
      </c>
      <c r="C15" s="3" t="n">
        <f aca="false">11.88*B5</f>
        <v>33.264</v>
      </c>
      <c r="D15" s="4"/>
      <c r="E15" s="4"/>
      <c r="F15" s="4"/>
      <c r="G15" s="4"/>
      <c r="H15" s="4"/>
      <c r="I15" s="14"/>
    </row>
    <row r="16" customFormat="false" ht="17.25" hidden="false" customHeight="false" outlineLevel="0" collapsed="false">
      <c r="A16" s="2" t="s">
        <v>15</v>
      </c>
      <c r="B16" s="3" t="n">
        <f aca="false">2.5*3.3+55</f>
        <v>63.25</v>
      </c>
      <c r="C16" s="3" t="n">
        <f aca="false">8.25*B5+6*3.8*5.5</f>
        <v>148.5</v>
      </c>
      <c r="D16" s="4"/>
      <c r="E16" s="4"/>
      <c r="F16" s="4"/>
      <c r="G16" s="4"/>
      <c r="H16" s="4"/>
      <c r="I16" s="14"/>
    </row>
    <row r="17" customFormat="false" ht="17.25" hidden="false" customHeight="false" outlineLevel="0" collapsed="false">
      <c r="A17" s="2" t="s">
        <v>16</v>
      </c>
      <c r="B17" s="3" t="n">
        <f aca="false">2*2*4.6+0.5</f>
        <v>18.9</v>
      </c>
      <c r="C17" s="3" t="n">
        <f aca="false">18.9*B5</f>
        <v>52.92</v>
      </c>
      <c r="D17" s="4"/>
      <c r="E17" s="4"/>
      <c r="F17" s="4"/>
      <c r="G17" s="4"/>
      <c r="H17" s="4"/>
      <c r="I17" s="1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14"/>
    </row>
    <row r="19" customFormat="false" ht="15" hidden="false" customHeight="false" outlineLevel="0" collapsed="false">
      <c r="A19" s="5" t="s">
        <v>17</v>
      </c>
      <c r="B19" s="4"/>
      <c r="C19" s="4"/>
      <c r="D19" s="4"/>
      <c r="E19" s="4"/>
      <c r="F19" s="4"/>
      <c r="G19" s="4"/>
      <c r="H19" s="4"/>
      <c r="I19" s="14"/>
    </row>
    <row r="20" customFormat="false" ht="15" hidden="false" customHeight="false" outlineLevel="0" collapsed="false">
      <c r="A20" s="9"/>
      <c r="B20" s="8" t="s">
        <v>18</v>
      </c>
      <c r="C20" s="8" t="s">
        <v>19</v>
      </c>
      <c r="D20" s="8" t="s">
        <v>20</v>
      </c>
      <c r="E20" s="8" t="s">
        <v>21</v>
      </c>
      <c r="F20" s="8" t="s">
        <v>22</v>
      </c>
      <c r="G20" s="8" t="s">
        <v>23</v>
      </c>
      <c r="H20" s="4"/>
      <c r="I20" s="14"/>
    </row>
    <row r="21" customFormat="false" ht="17.25" hidden="false" customHeight="true" outlineLevel="0" collapsed="false">
      <c r="A21" s="9" t="s">
        <v>24</v>
      </c>
      <c r="B21" s="10" t="n">
        <f aca="false">(3.6+3.5)*B5-B22</f>
        <v>16.88</v>
      </c>
      <c r="C21" s="10" t="n">
        <f aca="false">(2.75+3.5)*B6-C22</f>
        <v>14</v>
      </c>
      <c r="D21" s="10" t="n">
        <f aca="false">3*B5-D22</f>
        <v>6.4</v>
      </c>
      <c r="E21" s="10" t="n">
        <f aca="false">(4.4+2.75)*B6-E22</f>
        <v>19.02</v>
      </c>
      <c r="F21" s="10" t="n">
        <f aca="false">(6*5)+(2.5+3.3)*B5-F22-F25</f>
        <v>43.34</v>
      </c>
      <c r="G21" s="10" t="n">
        <f aca="false">(2*(2+4.6)+1)*B5-G22-G25</f>
        <v>35.86</v>
      </c>
      <c r="H21" s="4"/>
      <c r="I21" s="14"/>
    </row>
    <row r="22" customFormat="false" ht="17.25" hidden="false" customHeight="false" outlineLevel="0" collapsed="false">
      <c r="A22" s="9" t="s">
        <v>25</v>
      </c>
      <c r="B22" s="10" t="n">
        <f aca="false">1.5+1.5</f>
        <v>3</v>
      </c>
      <c r="C22" s="10" t="n">
        <f aca="false">1.5+2</f>
        <v>3.5</v>
      </c>
      <c r="D22" s="10" t="n">
        <f aca="false">2</f>
        <v>2</v>
      </c>
      <c r="E22" s="10" t="n">
        <f aca="false">1</f>
        <v>1</v>
      </c>
      <c r="F22" s="10" t="n">
        <v>0.75</v>
      </c>
      <c r="G22" s="10" t="n">
        <f aca="false">1+0.75</f>
        <v>1.75</v>
      </c>
      <c r="H22" s="4" t="n">
        <f aca="false">SUM(B22:G22)</f>
        <v>12</v>
      </c>
      <c r="I22" s="14"/>
    </row>
    <row r="23" customFormat="false" ht="17.25" hidden="false" customHeight="false" outlineLevel="0" collapsed="false">
      <c r="A23" s="9" t="s">
        <v>26</v>
      </c>
      <c r="B23" s="10" t="n">
        <v>0</v>
      </c>
      <c r="C23" s="10" t="n">
        <v>0</v>
      </c>
      <c r="D23" s="3" t="n">
        <f aca="false">3*1.5</f>
        <v>4.5</v>
      </c>
      <c r="E23" s="3" t="n">
        <v>0</v>
      </c>
      <c r="F23" s="3" t="n">
        <f aca="false">2*8.31*5.5+2.5*1.5</f>
        <v>95.16</v>
      </c>
      <c r="G23" s="3" t="n">
        <v>0</v>
      </c>
      <c r="H23" s="4" t="n">
        <f aca="false">SUM(B21:G21)+SUM(B22:G22)+SUM(B23:G23)+SUM(B26:G26)</f>
        <v>337.36</v>
      </c>
      <c r="I23" s="14"/>
    </row>
    <row r="24" customFormat="false" ht="17.25" hidden="false" customHeight="false" outlineLevel="0" collapsed="false">
      <c r="A24" s="9" t="s">
        <v>27</v>
      </c>
      <c r="B24" s="10" t="n">
        <v>35.9</v>
      </c>
      <c r="C24" s="10" t="n">
        <v>0</v>
      </c>
      <c r="D24" s="10" t="n">
        <v>9.9</v>
      </c>
      <c r="E24" s="10" t="n">
        <v>0</v>
      </c>
      <c r="F24" s="10" t="n">
        <v>8.25</v>
      </c>
      <c r="G24" s="10" t="n">
        <v>9.2</v>
      </c>
      <c r="H24" s="4"/>
      <c r="I24" s="14"/>
    </row>
    <row r="25" customFormat="false" ht="17.25" hidden="false" customHeight="false" outlineLevel="0" collapsed="false">
      <c r="A25" s="9" t="s">
        <v>28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2.15</v>
      </c>
      <c r="G25" s="10" t="n">
        <v>2.15</v>
      </c>
      <c r="H25" s="4"/>
      <c r="I25" s="14"/>
    </row>
    <row r="26" customFormat="false" ht="17.25" hidden="false" customHeight="false" outlineLevel="0" collapsed="false">
      <c r="A26" s="9" t="s">
        <v>29</v>
      </c>
      <c r="B26" s="10" t="n">
        <f aca="false">8.2*B5</f>
        <v>22.96</v>
      </c>
      <c r="C26" s="10" t="n">
        <f aca="false">10*B6</f>
        <v>28</v>
      </c>
      <c r="D26" s="10" t="n">
        <f aca="false">3.3*B5</f>
        <v>9.24</v>
      </c>
      <c r="E26" s="10" t="n">
        <v>0</v>
      </c>
      <c r="F26" s="10" t="n">
        <f aca="false">(6*5)</f>
        <v>30</v>
      </c>
      <c r="G26" s="10" t="n">
        <v>0</v>
      </c>
      <c r="H26" s="4"/>
      <c r="I26" s="14"/>
    </row>
    <row r="27" customFormat="false" ht="17.25" hidden="false" customHeight="true" outlineLevel="0" collapsed="false">
      <c r="A27" s="9" t="s">
        <v>30</v>
      </c>
      <c r="B27" s="3" t="n">
        <f aca="false">2*5.5+4.6</f>
        <v>15.6</v>
      </c>
      <c r="C27" s="10" t="n">
        <f aca="false">10*B6</f>
        <v>28</v>
      </c>
      <c r="D27" s="10" t="n">
        <f aca="false">(3+3.3)*B5</f>
        <v>17.64</v>
      </c>
      <c r="E27" s="10" t="n">
        <f aca="false">(4.4+2.7)*B6</f>
        <v>19.88</v>
      </c>
      <c r="F27" s="10" t="n">
        <f aca="false">(2.5+3.3)*B5</f>
        <v>16.24</v>
      </c>
      <c r="G27" s="10" t="n">
        <f aca="false">2*(2+4.6)*B5</f>
        <v>36.96</v>
      </c>
      <c r="H27" s="4"/>
      <c r="I27" s="14"/>
    </row>
    <row r="28" customFormat="false" ht="15" hidden="false" customHeight="false" outlineLevel="0" collapsed="false">
      <c r="B28" s="11"/>
      <c r="E28" s="11"/>
      <c r="F28" s="11"/>
      <c r="G28" s="11"/>
    </row>
    <row r="29" customFormat="false" ht="15" hidden="false" customHeight="false" outlineLevel="0" collapsed="false">
      <c r="B29" s="12"/>
      <c r="C29" s="12"/>
      <c r="D29" s="12"/>
      <c r="E29" s="12"/>
      <c r="F29" s="12"/>
      <c r="G29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421875" defaultRowHeight="15" zeroHeight="false" outlineLevelRow="0" outlineLevelCol="0"/>
  <cols>
    <col collapsed="false" customWidth="true" hidden="false" outlineLevel="0" max="1" min="1" style="0" width="22.42"/>
    <col collapsed="false" customWidth="true" hidden="false" outlineLevel="0" max="2" min="2" style="0" width="15.28"/>
    <col collapsed="false" customWidth="true" hidden="false" outlineLevel="0" max="3" min="3" style="0" width="12.7"/>
    <col collapsed="false" customWidth="true" hidden="false" outlineLevel="0" max="4" min="4" style="0" width="12.28"/>
    <col collapsed="false" customWidth="true" hidden="false" outlineLevel="0" max="5" min="5" style="0" width="11.7"/>
  </cols>
  <sheetData>
    <row r="1" customFormat="false" ht="15" hidden="false" customHeight="false" outlineLevel="0" collapsed="false">
      <c r="A1" s="1" t="s">
        <v>0</v>
      </c>
    </row>
    <row r="2" customFormat="false" ht="17.25" hidden="false" customHeight="false" outlineLevel="0" collapsed="false">
      <c r="A2" s="2" t="s">
        <v>1</v>
      </c>
      <c r="B2" s="3" t="n">
        <f aca="false">5.8*13+2*9.5*5.8</f>
        <v>185.6</v>
      </c>
      <c r="C2" s="4"/>
      <c r="D2" s="4"/>
      <c r="E2" s="4"/>
      <c r="F2" s="4"/>
      <c r="G2" s="4"/>
      <c r="H2" s="4"/>
      <c r="I2" s="14"/>
    </row>
    <row r="3" customFormat="false" ht="17.25" hidden="false" customHeight="false" outlineLevel="0" collapsed="false">
      <c r="A3" s="2" t="s">
        <v>2</v>
      </c>
      <c r="B3" s="3" t="n">
        <f aca="false">75.4</f>
        <v>75.4</v>
      </c>
      <c r="C3" s="4"/>
      <c r="D3" s="4"/>
      <c r="E3" s="4"/>
      <c r="F3" s="4"/>
      <c r="G3" s="4"/>
      <c r="H3" s="4"/>
      <c r="I3" s="14"/>
    </row>
    <row r="4" customFormat="false" ht="15" hidden="false" customHeight="false" outlineLevel="0" collapsed="false">
      <c r="A4" s="2" t="s">
        <v>3</v>
      </c>
      <c r="B4" s="3" t="n">
        <v>3</v>
      </c>
      <c r="C4" s="4"/>
      <c r="D4" s="4"/>
      <c r="E4" s="4"/>
      <c r="F4" s="4"/>
      <c r="G4" s="4"/>
      <c r="H4" s="4"/>
      <c r="I4" s="14"/>
    </row>
    <row r="5" customFormat="false" ht="17.25" hidden="false" customHeight="false" outlineLevel="0" collapsed="false">
      <c r="A5" s="2" t="s">
        <v>4</v>
      </c>
      <c r="B5" s="3" t="n">
        <v>2.8</v>
      </c>
      <c r="C5" s="4"/>
      <c r="D5" s="4"/>
      <c r="E5" s="4"/>
      <c r="F5" s="4"/>
      <c r="G5" s="4"/>
      <c r="H5" s="4"/>
      <c r="I5" s="14"/>
    </row>
    <row r="6" customFormat="false" ht="17.25" hidden="false" customHeight="false" outlineLevel="0" collapsed="false">
      <c r="A6" s="2" t="s">
        <v>5</v>
      </c>
      <c r="B6" s="3" t="n">
        <v>2.8</v>
      </c>
      <c r="C6" s="4"/>
      <c r="D6" s="4"/>
      <c r="E6" s="4"/>
      <c r="F6" s="4"/>
      <c r="G6" s="4"/>
      <c r="H6" s="4"/>
      <c r="I6" s="14"/>
    </row>
    <row r="7" customFormat="false" ht="17.25" hidden="false" customHeight="false" outlineLevel="0" collapsed="false">
      <c r="A7" s="2" t="s">
        <v>6</v>
      </c>
      <c r="B7" s="3" t="n">
        <v>2.8</v>
      </c>
      <c r="C7" s="4"/>
      <c r="D7" s="4"/>
      <c r="E7" s="4"/>
      <c r="F7" s="4"/>
      <c r="G7" s="4"/>
      <c r="H7" s="4"/>
      <c r="I7" s="14"/>
    </row>
    <row r="8" customFormat="false" ht="17.25" hidden="false" customHeight="false" outlineLevel="0" collapsed="false">
      <c r="A8" s="2" t="s">
        <v>7</v>
      </c>
      <c r="B8" s="3" t="n">
        <v>0</v>
      </c>
      <c r="C8" s="4"/>
      <c r="D8" s="4"/>
      <c r="E8" s="4"/>
      <c r="F8" s="4"/>
      <c r="G8" s="4"/>
      <c r="H8" s="4"/>
      <c r="I8" s="1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14"/>
    </row>
    <row r="10" customFormat="false" ht="15" hidden="false" customHeight="false" outlineLevel="0" collapsed="false">
      <c r="A10" s="5" t="s">
        <v>8</v>
      </c>
      <c r="B10" s="4"/>
      <c r="C10" s="4"/>
      <c r="D10" s="4"/>
      <c r="E10" s="4"/>
      <c r="F10" s="4"/>
      <c r="G10" s="4"/>
      <c r="H10" s="4"/>
      <c r="I10" s="14"/>
    </row>
    <row r="11" customFormat="false" ht="16.5" hidden="false" customHeight="false" outlineLevel="0" collapsed="false">
      <c r="A11" s="6"/>
      <c r="B11" s="15" t="s">
        <v>9</v>
      </c>
      <c r="C11" s="15" t="s">
        <v>10</v>
      </c>
      <c r="D11" s="4"/>
      <c r="E11" s="4"/>
      <c r="F11" s="4"/>
      <c r="G11" s="4"/>
      <c r="H11" s="4"/>
      <c r="I11" s="14"/>
    </row>
    <row r="12" customFormat="false" ht="17.25" hidden="false" customHeight="false" outlineLevel="0" collapsed="false">
      <c r="A12" s="2" t="s">
        <v>11</v>
      </c>
      <c r="B12" s="3" t="n">
        <f aca="false">2.3*4.5+3.5*9.5</f>
        <v>43.6</v>
      </c>
      <c r="C12" s="10" t="n">
        <f aca="false">43.6*B5</f>
        <v>122.08</v>
      </c>
      <c r="D12" s="4"/>
      <c r="E12" s="4"/>
      <c r="F12" s="4"/>
      <c r="G12" s="4"/>
      <c r="H12" s="4"/>
      <c r="I12" s="14"/>
    </row>
    <row r="13" customFormat="false" ht="17.25" hidden="false" customHeight="false" outlineLevel="0" collapsed="false">
      <c r="A13" s="2" t="s">
        <v>12</v>
      </c>
      <c r="B13" s="3" t="n">
        <f aca="false">2*17.4+17.1</f>
        <v>51.9</v>
      </c>
      <c r="C13" s="10" t="n">
        <f aca="false">17.4*B6+(4.75*2.8)/2*9.6</f>
        <v>112.56</v>
      </c>
      <c r="D13" s="4"/>
      <c r="E13" s="4"/>
      <c r="F13" s="4"/>
      <c r="G13" s="4"/>
      <c r="H13" s="4"/>
      <c r="I13" s="14"/>
    </row>
    <row r="14" customFormat="false" ht="17.25" hidden="false" customHeight="false" outlineLevel="0" collapsed="false">
      <c r="A14" s="2" t="s">
        <v>13</v>
      </c>
      <c r="B14" s="3" t="n">
        <f aca="false">3.5*5.8</f>
        <v>20.3</v>
      </c>
      <c r="C14" s="10" t="n">
        <f aca="false">20.3*B5</f>
        <v>56.84</v>
      </c>
      <c r="D14" s="4"/>
      <c r="E14" s="4"/>
      <c r="F14" s="4"/>
      <c r="G14" s="4"/>
      <c r="H14" s="4"/>
      <c r="I14" s="14"/>
    </row>
    <row r="15" customFormat="false" ht="17.25" hidden="false" customHeight="false" outlineLevel="0" collapsed="false">
      <c r="A15" s="2" t="s">
        <v>14</v>
      </c>
      <c r="B15" s="3" t="n">
        <f aca="false">5.6</f>
        <v>5.6</v>
      </c>
      <c r="C15" s="10" t="n">
        <f aca="false">5.6*B6</f>
        <v>15.68</v>
      </c>
      <c r="D15" s="4"/>
      <c r="E15" s="4"/>
      <c r="F15" s="4"/>
      <c r="G15" s="4"/>
      <c r="H15" s="4"/>
      <c r="I15" s="14"/>
    </row>
    <row r="16" customFormat="false" ht="17.25" hidden="false" customHeight="false" outlineLevel="0" collapsed="false">
      <c r="A16" s="2" t="s">
        <v>15</v>
      </c>
      <c r="B16" s="3" t="n">
        <f aca="false">9+12.6</f>
        <v>21.6</v>
      </c>
      <c r="C16" s="10" t="n">
        <f aca="false">12.6*B6+(4.75*2.8)/2*2</f>
        <v>48.58</v>
      </c>
      <c r="D16" s="4"/>
      <c r="E16" s="4"/>
      <c r="F16" s="4"/>
      <c r="G16" s="4"/>
      <c r="H16" s="4"/>
      <c r="I16" s="14"/>
    </row>
    <row r="17" customFormat="false" ht="17.25" hidden="false" customHeight="false" outlineLevel="0" collapsed="false">
      <c r="A17" s="2" t="s">
        <v>16</v>
      </c>
      <c r="B17" s="3" t="n">
        <f aca="false">B2-B12-B13-B14-B15-B16</f>
        <v>42.6</v>
      </c>
      <c r="C17" s="10" t="n">
        <f aca="false">5*2.3*B5+2*3*B6+2*2.8-(B7-(B7*3.75/4.75))*2/2</f>
        <v>54.0105263157895</v>
      </c>
      <c r="D17" s="4"/>
      <c r="E17" s="4"/>
      <c r="F17" s="4"/>
      <c r="G17" s="4"/>
      <c r="H17" s="4"/>
      <c r="I17" s="1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14"/>
    </row>
    <row r="19" customFormat="false" ht="15" hidden="false" customHeight="false" outlineLevel="0" collapsed="false">
      <c r="A19" s="5" t="s">
        <v>17</v>
      </c>
      <c r="B19" s="4"/>
      <c r="C19" s="4"/>
      <c r="D19" s="4"/>
      <c r="E19" s="4"/>
      <c r="F19" s="4"/>
      <c r="G19" s="4"/>
      <c r="H19" s="4"/>
      <c r="I19" s="14"/>
    </row>
    <row r="20" customFormat="false" ht="15" hidden="false" customHeight="false" outlineLevel="0" collapsed="false">
      <c r="A20" s="9"/>
      <c r="B20" s="8" t="s">
        <v>18</v>
      </c>
      <c r="C20" s="8" t="s">
        <v>19</v>
      </c>
      <c r="D20" s="8" t="s">
        <v>20</v>
      </c>
      <c r="E20" s="8" t="s">
        <v>21</v>
      </c>
      <c r="F20" s="8" t="s">
        <v>22</v>
      </c>
      <c r="G20" s="8" t="s">
        <v>23</v>
      </c>
      <c r="H20" s="4"/>
      <c r="I20" s="14"/>
    </row>
    <row r="21" customFormat="false" ht="17.25" hidden="false" customHeight="true" outlineLevel="0" collapsed="false">
      <c r="A21" s="9" t="s">
        <v>24</v>
      </c>
      <c r="B21" s="10" t="n">
        <f aca="false">(4.5+5.8)*B5-B22</f>
        <v>22.34</v>
      </c>
      <c r="C21" s="10" t="n">
        <f aca="false">(3+5.8+3+4.5)*B5+(4.75*2.8)-C22</f>
        <v>54.44</v>
      </c>
      <c r="D21" s="10" t="n">
        <f aca="false">(3.5+5.8)*B5-D22</f>
        <v>18.04</v>
      </c>
      <c r="E21" s="10" t="n">
        <v>0</v>
      </c>
      <c r="F21" s="10" t="n">
        <v>0</v>
      </c>
      <c r="G21" s="3" t="n">
        <f aca="false">(5+2)*B5+2*2.8-(B7-(B7*3.75/4.75))*2/2-G22-G25</f>
        <v>20.9605263157895</v>
      </c>
      <c r="H21" s="4"/>
      <c r="I21" s="14"/>
    </row>
    <row r="22" customFormat="false" ht="17.25" hidden="false" customHeight="false" outlineLevel="0" collapsed="false">
      <c r="A22" s="9" t="s">
        <v>25</v>
      </c>
      <c r="B22" s="10" t="n">
        <f aca="false">3+3.5</f>
        <v>6.5</v>
      </c>
      <c r="C22" s="10" t="n">
        <f aca="false">1.5+3</f>
        <v>4.5</v>
      </c>
      <c r="D22" s="10" t="n">
        <f aca="false">2+6</f>
        <v>8</v>
      </c>
      <c r="E22" s="10" t="n">
        <v>0</v>
      </c>
      <c r="F22" s="10" t="n">
        <f aca="false">1.5</f>
        <v>1.5</v>
      </c>
      <c r="G22" s="10" t="n">
        <f aca="false">1.5</f>
        <v>1.5</v>
      </c>
      <c r="H22" s="4" t="n">
        <f aca="false">SUM(B22:G22)</f>
        <v>22</v>
      </c>
      <c r="I22" s="14"/>
    </row>
    <row r="23" customFormat="false" ht="17.25" hidden="false" customHeight="false" outlineLevel="0" collapsed="false">
      <c r="A23" s="9" t="s">
        <v>26</v>
      </c>
      <c r="B23" s="10" t="n">
        <v>0</v>
      </c>
      <c r="C23" s="3" t="n">
        <f aca="false">5.5*3.8+3.45*5.8</f>
        <v>40.91</v>
      </c>
      <c r="D23" s="10" t="n">
        <f aca="false">20.3</f>
        <v>20.3</v>
      </c>
      <c r="E23" s="10" t="n">
        <v>0</v>
      </c>
      <c r="F23" s="3" t="n">
        <f aca="false">2*5.5</f>
        <v>11</v>
      </c>
      <c r="G23" s="3" t="n">
        <f aca="false">2*5.5*5.8-40.91-11</f>
        <v>11.89</v>
      </c>
      <c r="H23" s="4" t="n">
        <f aca="false">SUM(B21:G21)+SUM(B22:G22)+SUM(B23:G23)+SUM(B26:G26)</f>
        <v>304.353552631579</v>
      </c>
      <c r="I23" s="14"/>
    </row>
    <row r="24" customFormat="false" ht="17.25" hidden="false" customHeight="false" outlineLevel="0" collapsed="false">
      <c r="A24" s="9" t="s">
        <v>27</v>
      </c>
      <c r="B24" s="10" t="n">
        <v>43.6</v>
      </c>
      <c r="C24" s="10" t="n">
        <v>0</v>
      </c>
      <c r="D24" s="10" t="n">
        <v>20.3</v>
      </c>
      <c r="E24" s="10" t="n">
        <v>0</v>
      </c>
      <c r="F24" s="10" t="n">
        <v>0</v>
      </c>
      <c r="G24" s="10" t="n">
        <v>0</v>
      </c>
      <c r="H24" s="4"/>
      <c r="I24" s="14"/>
    </row>
    <row r="25" customFormat="false" ht="17.25" hidden="false" customHeight="false" outlineLevel="0" collapsed="false">
      <c r="A25" s="9" t="s">
        <v>28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0</v>
      </c>
      <c r="G25" s="10" t="n">
        <v>2.15</v>
      </c>
      <c r="H25" s="4"/>
      <c r="I25" s="14"/>
    </row>
    <row r="26" customFormat="false" ht="17.25" hidden="false" customHeight="false" outlineLevel="0" collapsed="false">
      <c r="A26" s="9" t="s">
        <v>29</v>
      </c>
      <c r="B26" s="3" t="n">
        <f aca="false">9.5*B5</f>
        <v>26.6</v>
      </c>
      <c r="C26" s="3" t="n">
        <f aca="false">3.5*B5+(4.75*5.5)/2</f>
        <v>22.8625</v>
      </c>
      <c r="D26" s="10" t="n">
        <f aca="false">3.5*B5</f>
        <v>9.8</v>
      </c>
      <c r="E26" s="10" t="n">
        <f aca="false">2*B5</f>
        <v>5.6</v>
      </c>
      <c r="F26" s="10" t="n">
        <f aca="false">4.5*B5</f>
        <v>12.6</v>
      </c>
      <c r="G26" s="3" t="n">
        <f aca="false">2*2.8-(B5-(B5*3.75/4.75))*2/2</f>
        <v>5.01052631578947</v>
      </c>
      <c r="H26" s="4"/>
      <c r="I26" s="14"/>
    </row>
    <row r="27" customFormat="false" ht="17.25" hidden="false" customHeight="true" outlineLevel="0" collapsed="false">
      <c r="A27" s="9" t="s">
        <v>30</v>
      </c>
      <c r="B27" s="10" t="n">
        <f aca="false">(5.8+2.3+5)*B5</f>
        <v>36.68</v>
      </c>
      <c r="C27" s="10" t="n">
        <f aca="false">(5.8+3)*B6+(5.8+3.8)*B7</f>
        <v>51.52</v>
      </c>
      <c r="D27" s="10" t="n">
        <f aca="false">5.8*B5</f>
        <v>16.24</v>
      </c>
      <c r="E27" s="10" t="n">
        <f aca="false">(2+2*2.8)*B6</f>
        <v>21.28</v>
      </c>
      <c r="F27" s="3" t="n">
        <f aca="false">(4.5+2.8)*B6+(4.75*2.8)/2</f>
        <v>27.09</v>
      </c>
      <c r="G27" s="3" t="n">
        <f aca="false">(2*2.3+5)*B5+(2*3+2)*B6+2*5.8*B7</f>
        <v>81.76</v>
      </c>
      <c r="H27" s="4"/>
      <c r="I27" s="14"/>
    </row>
    <row r="28" customFormat="false" ht="15" hidden="false" customHeight="false" outlineLevel="0" collapsed="false">
      <c r="B28" s="11"/>
      <c r="E28" s="11"/>
      <c r="F28" s="11"/>
      <c r="G28" s="11"/>
    </row>
    <row r="29" customFormat="false" ht="15" hidden="false" customHeight="false" outlineLevel="0" collapsed="false">
      <c r="B29" s="12"/>
      <c r="C29" s="12"/>
      <c r="D29" s="12"/>
      <c r="E29" s="12"/>
      <c r="F29" s="12"/>
      <c r="G29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421875" defaultRowHeight="15" zeroHeight="false" outlineLevelRow="0" outlineLevelCol="0"/>
  <cols>
    <col collapsed="false" customWidth="true" hidden="false" outlineLevel="0" max="1" min="1" style="0" width="22.42"/>
    <col collapsed="false" customWidth="true" hidden="false" outlineLevel="0" max="2" min="2" style="0" width="15.28"/>
    <col collapsed="false" customWidth="true" hidden="false" outlineLevel="0" max="3" min="3" style="0" width="12.7"/>
    <col collapsed="false" customWidth="true" hidden="false" outlineLevel="0" max="4" min="4" style="0" width="12.28"/>
    <col collapsed="false" customWidth="true" hidden="false" outlineLevel="0" max="5" min="5" style="0" width="11.7"/>
  </cols>
  <sheetData>
    <row r="1" customFormat="false" ht="15" hidden="false" customHeight="false" outlineLevel="0" collapsed="false">
      <c r="A1" s="1" t="s">
        <v>0</v>
      </c>
    </row>
    <row r="2" customFormat="false" ht="17.25" hidden="false" customHeight="false" outlineLevel="0" collapsed="false">
      <c r="A2" s="2" t="s">
        <v>1</v>
      </c>
      <c r="B2" s="3" t="n">
        <f aca="false">7.5*11.5+7.5*8.5</f>
        <v>150</v>
      </c>
      <c r="C2" s="4"/>
      <c r="D2" s="4"/>
      <c r="E2" s="4"/>
      <c r="F2" s="4"/>
      <c r="G2" s="4"/>
      <c r="H2" s="4"/>
      <c r="I2" s="14"/>
    </row>
    <row r="3" customFormat="false" ht="17.25" hidden="false" customHeight="false" outlineLevel="0" collapsed="false">
      <c r="A3" s="2" t="s">
        <v>2</v>
      </c>
      <c r="B3" s="3" t="n">
        <f aca="false">86.25</f>
        <v>86.25</v>
      </c>
      <c r="C3" s="4"/>
      <c r="D3" s="4"/>
      <c r="E3" s="4"/>
      <c r="F3" s="4"/>
      <c r="G3" s="4"/>
      <c r="H3" s="4"/>
      <c r="I3" s="14"/>
    </row>
    <row r="4" customFormat="false" ht="15" hidden="false" customHeight="false" outlineLevel="0" collapsed="false">
      <c r="A4" s="2" t="s">
        <v>3</v>
      </c>
      <c r="B4" s="3" t="n">
        <f aca="false">2</f>
        <v>2</v>
      </c>
      <c r="C4" s="4"/>
      <c r="D4" s="4"/>
      <c r="E4" s="4"/>
      <c r="F4" s="4"/>
      <c r="G4" s="4"/>
      <c r="H4" s="4"/>
      <c r="I4" s="14"/>
    </row>
    <row r="5" customFormat="false" ht="17.25" hidden="false" customHeight="false" outlineLevel="0" collapsed="false">
      <c r="A5" s="2" t="s">
        <v>4</v>
      </c>
      <c r="B5" s="3" t="n">
        <f aca="false">2.8</f>
        <v>2.8</v>
      </c>
      <c r="C5" s="4"/>
      <c r="D5" s="4"/>
      <c r="E5" s="4"/>
      <c r="F5" s="4"/>
      <c r="G5" s="4"/>
      <c r="H5" s="4"/>
      <c r="I5" s="14"/>
    </row>
    <row r="6" customFormat="false" ht="17.25" hidden="false" customHeight="false" outlineLevel="0" collapsed="false">
      <c r="A6" s="2" t="s">
        <v>5</v>
      </c>
      <c r="B6" s="3" t="n">
        <f aca="false">1.5+3.5</f>
        <v>5</v>
      </c>
      <c r="C6" s="4"/>
      <c r="D6" s="4"/>
      <c r="E6" s="4"/>
      <c r="F6" s="4"/>
      <c r="G6" s="4"/>
      <c r="H6" s="4"/>
      <c r="I6" s="14"/>
    </row>
    <row r="7" customFormat="false" ht="17.25" hidden="false" customHeight="false" outlineLevel="0" collapsed="false">
      <c r="A7" s="2" t="s">
        <v>6</v>
      </c>
      <c r="B7" s="3" t="n">
        <v>0</v>
      </c>
      <c r="C7" s="4"/>
      <c r="D7" s="4"/>
      <c r="E7" s="4"/>
      <c r="F7" s="4"/>
      <c r="G7" s="4"/>
      <c r="H7" s="4"/>
      <c r="I7" s="14"/>
    </row>
    <row r="8" customFormat="false" ht="17.25" hidden="false" customHeight="false" outlineLevel="0" collapsed="false">
      <c r="A8" s="2" t="s">
        <v>7</v>
      </c>
      <c r="B8" s="3" t="n">
        <v>0</v>
      </c>
      <c r="C8" s="4"/>
      <c r="D8" s="4"/>
      <c r="E8" s="4"/>
      <c r="F8" s="4"/>
      <c r="G8" s="4"/>
      <c r="H8" s="4"/>
      <c r="I8" s="1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14"/>
    </row>
    <row r="10" customFormat="false" ht="15" hidden="false" customHeight="false" outlineLevel="0" collapsed="false">
      <c r="A10" s="5" t="s">
        <v>8</v>
      </c>
      <c r="B10" s="4"/>
      <c r="C10" s="4"/>
      <c r="D10" s="4"/>
      <c r="E10" s="4"/>
      <c r="F10" s="4"/>
      <c r="G10" s="4"/>
      <c r="H10" s="4"/>
      <c r="I10" s="14"/>
    </row>
    <row r="11" customFormat="false" ht="16.5" hidden="false" customHeight="false" outlineLevel="0" collapsed="false">
      <c r="A11" s="6"/>
      <c r="B11" s="2" t="s">
        <v>9</v>
      </c>
      <c r="C11" s="2" t="s">
        <v>10</v>
      </c>
      <c r="D11" s="4"/>
      <c r="E11" s="4"/>
      <c r="F11" s="4"/>
      <c r="G11" s="4"/>
      <c r="H11" s="4"/>
      <c r="I11" s="14"/>
    </row>
    <row r="12" customFormat="false" ht="17.25" hidden="false" customHeight="false" outlineLevel="0" collapsed="false">
      <c r="A12" s="2" t="s">
        <v>11</v>
      </c>
      <c r="B12" s="3" t="n">
        <f aca="false">6.6*4.2</f>
        <v>27.72</v>
      </c>
      <c r="C12" s="3" t="n">
        <f aca="false">B12*B5</f>
        <v>77.616</v>
      </c>
      <c r="D12" s="4"/>
      <c r="E12" s="4"/>
      <c r="F12" s="4"/>
      <c r="G12" s="4"/>
      <c r="H12" s="4"/>
      <c r="I12" s="14"/>
    </row>
    <row r="13" customFormat="false" ht="17.25" hidden="false" customHeight="false" outlineLevel="0" collapsed="false">
      <c r="A13" s="2" t="s">
        <v>12</v>
      </c>
      <c r="B13" s="3" t="n">
        <f aca="false">8.5*7.5-2.9*3.8-1.3*3.8</f>
        <v>47.79</v>
      </c>
      <c r="C13" s="3" t="n">
        <f aca="false">47.35*1.5+4.25*3.5*(7.5+3.3)/2</f>
        <v>151.35</v>
      </c>
      <c r="D13" s="4"/>
      <c r="E13" s="4"/>
      <c r="F13" s="4"/>
      <c r="G13" s="4"/>
      <c r="H13" s="4"/>
      <c r="I13" s="14"/>
    </row>
    <row r="14" customFormat="false" ht="17.25" hidden="false" customHeight="false" outlineLevel="0" collapsed="false">
      <c r="A14" s="2" t="s">
        <v>13</v>
      </c>
      <c r="B14" s="3" t="n">
        <f aca="false">3.3*4.3+3.2*4.2</f>
        <v>27.63</v>
      </c>
      <c r="C14" s="3" t="n">
        <f aca="false">B14*B5</f>
        <v>77.364</v>
      </c>
      <c r="D14" s="4"/>
      <c r="E14" s="4"/>
      <c r="F14" s="4"/>
      <c r="G14" s="4"/>
      <c r="H14" s="4"/>
      <c r="I14" s="14"/>
    </row>
    <row r="15" customFormat="false" ht="17.25" hidden="false" customHeight="false" outlineLevel="0" collapsed="false">
      <c r="A15" s="2" t="s">
        <v>14</v>
      </c>
      <c r="B15" s="3" t="n">
        <f aca="false">2.9*3.8</f>
        <v>11.02</v>
      </c>
      <c r="C15" s="3" t="n">
        <f aca="false">2.9*3.8*1.5+4*3.5/2*2.9</f>
        <v>36.83</v>
      </c>
      <c r="D15" s="4"/>
      <c r="E15" s="4"/>
      <c r="F15" s="4"/>
      <c r="G15" s="4"/>
      <c r="H15" s="4"/>
      <c r="I15" s="14"/>
    </row>
    <row r="16" customFormat="false" ht="17.25" hidden="false" customHeight="false" outlineLevel="0" collapsed="false">
      <c r="A16" s="2" t="s">
        <v>15</v>
      </c>
      <c r="B16" s="3" t="n">
        <f aca="false">3.3*7.2</f>
        <v>23.76</v>
      </c>
      <c r="C16" s="3" t="n">
        <f aca="false">B16*B5</f>
        <v>66.528</v>
      </c>
      <c r="D16" s="4"/>
      <c r="E16" s="4"/>
      <c r="F16" s="4"/>
      <c r="G16" s="4"/>
      <c r="H16" s="4"/>
      <c r="I16" s="14"/>
    </row>
    <row r="17" customFormat="false" ht="17.25" hidden="false" customHeight="false" outlineLevel="0" collapsed="false">
      <c r="A17" s="2" t="s">
        <v>16</v>
      </c>
      <c r="B17" s="3" t="n">
        <f aca="false">7.14+4.94</f>
        <v>12.08</v>
      </c>
      <c r="C17" s="3" t="n">
        <f aca="false">7.14*B5+4.25*3.5/2*1.3</f>
        <v>29.66075</v>
      </c>
      <c r="D17" s="4"/>
      <c r="E17" s="4"/>
      <c r="F17" s="4"/>
      <c r="G17" s="4"/>
      <c r="H17" s="4"/>
      <c r="I17" s="1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14"/>
    </row>
    <row r="19" customFormat="false" ht="15" hidden="false" customHeight="false" outlineLevel="0" collapsed="false">
      <c r="A19" s="5" t="s">
        <v>17</v>
      </c>
      <c r="B19" s="4"/>
      <c r="C19" s="4"/>
      <c r="D19" s="4"/>
      <c r="E19" s="4"/>
      <c r="F19" s="4"/>
      <c r="G19" s="4"/>
      <c r="H19" s="4"/>
      <c r="I19" s="14"/>
    </row>
    <row r="20" customFormat="false" ht="15" hidden="false" customHeight="false" outlineLevel="0" collapsed="false">
      <c r="A20" s="9"/>
      <c r="B20" s="8" t="s">
        <v>18</v>
      </c>
      <c r="C20" s="8" t="s">
        <v>19</v>
      </c>
      <c r="D20" s="8" t="s">
        <v>20</v>
      </c>
      <c r="E20" s="8" t="s">
        <v>21</v>
      </c>
      <c r="F20" s="8" t="s">
        <v>22</v>
      </c>
      <c r="G20" s="8" t="s">
        <v>23</v>
      </c>
      <c r="H20" s="4"/>
      <c r="I20" s="14"/>
    </row>
    <row r="21" customFormat="false" ht="17.25" hidden="false" customHeight="true" outlineLevel="0" collapsed="false">
      <c r="A21" s="9" t="s">
        <v>24</v>
      </c>
      <c r="B21" s="10" t="n">
        <f aca="false">(3.5+2+1.1)*B5-B22</f>
        <v>16.48</v>
      </c>
      <c r="C21" s="10" t="n">
        <f aca="false">(3.3+7.5)*1.5-C22</f>
        <v>12.2</v>
      </c>
      <c r="D21" s="10" t="n">
        <f aca="false">(7.5+3.2)*B5-D22</f>
        <v>22.96</v>
      </c>
      <c r="E21" s="10" t="n">
        <f aca="false">(3.8+2.9)*B5-E22</f>
        <v>17.26</v>
      </c>
      <c r="F21" s="10" t="n">
        <f aca="false">3.3*B5-F25</f>
        <v>4.24</v>
      </c>
      <c r="G21" s="10" t="n">
        <f aca="false">4.2*B5+1.3*1.5-G25</f>
        <v>11.56</v>
      </c>
      <c r="H21" s="4"/>
      <c r="I21" s="14"/>
    </row>
    <row r="22" customFormat="false" ht="17.25" hidden="false" customHeight="false" outlineLevel="0" collapsed="false">
      <c r="A22" s="9" t="s">
        <v>25</v>
      </c>
      <c r="B22" s="10" t="n">
        <v>2</v>
      </c>
      <c r="C22" s="10" t="n">
        <v>4</v>
      </c>
      <c r="D22" s="10" t="n">
        <v>7</v>
      </c>
      <c r="E22" s="10" t="n">
        <v>1.5</v>
      </c>
      <c r="F22" s="10" t="n">
        <v>0</v>
      </c>
      <c r="G22" s="10" t="n">
        <v>0</v>
      </c>
      <c r="H22" s="4" t="n">
        <f aca="false">SUM(B22:G22)</f>
        <v>14.5</v>
      </c>
      <c r="I22" s="14"/>
    </row>
    <row r="23" customFormat="false" ht="17.25" hidden="false" customHeight="false" outlineLevel="0" collapsed="false">
      <c r="A23" s="9" t="s">
        <v>26</v>
      </c>
      <c r="B23" s="3" t="n">
        <v>0</v>
      </c>
      <c r="C23" s="3" t="n">
        <f aca="false">5.9*(7.5+3.3)</f>
        <v>63.72</v>
      </c>
      <c r="D23" s="3" t="n">
        <v>0</v>
      </c>
      <c r="E23" s="3" t="n">
        <f aca="false">5.9*2.9</f>
        <v>17.11</v>
      </c>
      <c r="F23" s="3" t="n">
        <v>0</v>
      </c>
      <c r="G23" s="3" t="n">
        <f aca="false">5.9*1.3</f>
        <v>7.67</v>
      </c>
      <c r="H23" s="4" t="n">
        <f aca="false">SUM(B21:G21)+SUM(B22:G22)+SUM(B23:G23)+SUM(B26:G26)+SUM(B25:G25)</f>
        <v>256.825</v>
      </c>
      <c r="I23" s="14"/>
    </row>
    <row r="24" customFormat="false" ht="17.25" hidden="false" customHeight="false" outlineLevel="0" collapsed="false">
      <c r="A24" s="9" t="s">
        <v>27</v>
      </c>
      <c r="B24" s="10" t="n">
        <v>27.72</v>
      </c>
      <c r="C24" s="10" t="n">
        <v>0</v>
      </c>
      <c r="D24" s="10" t="n">
        <v>27.63</v>
      </c>
      <c r="E24" s="10" t="n">
        <v>0</v>
      </c>
      <c r="F24" s="10" t="n">
        <v>23.76</v>
      </c>
      <c r="G24" s="10" t="n">
        <v>7.14</v>
      </c>
      <c r="H24" s="4"/>
      <c r="I24" s="14"/>
    </row>
    <row r="25" customFormat="false" ht="17.25" hidden="false" customHeight="false" outlineLevel="0" collapsed="false">
      <c r="A25" s="9" t="s">
        <v>28</v>
      </c>
      <c r="B25" s="10" t="n">
        <v>0</v>
      </c>
      <c r="C25" s="10" t="n">
        <v>0</v>
      </c>
      <c r="D25" s="10" t="n">
        <v>2.15</v>
      </c>
      <c r="E25" s="10" t="n">
        <v>0</v>
      </c>
      <c r="F25" s="10" t="n">
        <v>5</v>
      </c>
      <c r="G25" s="10" t="n">
        <v>2.15</v>
      </c>
      <c r="H25" s="4"/>
      <c r="I25" s="14"/>
    </row>
    <row r="26" customFormat="false" ht="17.25" hidden="false" customHeight="false" outlineLevel="0" collapsed="false">
      <c r="A26" s="9" t="s">
        <v>29</v>
      </c>
      <c r="B26" s="10" t="n">
        <v>0</v>
      </c>
      <c r="C26" s="10" t="n">
        <f aca="false">8.5*1.5+4.25*3.5</f>
        <v>27.625</v>
      </c>
      <c r="D26" s="10" t="n">
        <f aca="false">4.3*B5</f>
        <v>12.04</v>
      </c>
      <c r="E26" s="10" t="n">
        <v>0</v>
      </c>
      <c r="F26" s="10" t="n">
        <f aca="false">7.2*B5</f>
        <v>20.16</v>
      </c>
      <c r="G26" s="10" t="n">
        <v>0</v>
      </c>
      <c r="H26" s="4"/>
      <c r="I26" s="14"/>
    </row>
    <row r="27" customFormat="false" ht="17.25" hidden="false" customHeight="true" outlineLevel="0" collapsed="false">
      <c r="A27" s="9" t="s">
        <v>30</v>
      </c>
      <c r="B27" s="10" t="n">
        <f aca="false">(4.2+6.6)*B5</f>
        <v>30.24</v>
      </c>
      <c r="C27" s="10" t="n">
        <f aca="false">(4.2*5)+(4.25*1.5)+4.25*3.5/2</f>
        <v>34.8125</v>
      </c>
      <c r="D27" s="10" t="n">
        <f aca="false">(3.3+1.1)*B5</f>
        <v>12.32</v>
      </c>
      <c r="E27" s="10" t="n">
        <f aca="false">(2.9*5)+(3.8*1.5)+(4.25*3.5)</f>
        <v>35.075</v>
      </c>
      <c r="F27" s="10" t="n">
        <f aca="false">(3.3+7.7)*B5</f>
        <v>30.8</v>
      </c>
      <c r="G27" s="10" t="n">
        <f aca="false">(4.2+1.7)*B5+1.3*5+(4.25*1.5)+4.25*3.5</f>
        <v>44.27</v>
      </c>
      <c r="H27" s="4"/>
      <c r="I27" s="14"/>
    </row>
    <row r="28" customFormat="false" ht="15" hidden="false" customHeight="false" outlineLevel="0" collapsed="false">
      <c r="B28" s="11"/>
      <c r="E28" s="11"/>
      <c r="F28" s="11"/>
      <c r="G28" s="11"/>
    </row>
    <row r="29" customFormat="false" ht="15" hidden="false" customHeight="false" outlineLevel="0" collapsed="false">
      <c r="B29" s="12"/>
      <c r="C29" s="12"/>
      <c r="D29" s="12"/>
      <c r="E29" s="12"/>
      <c r="F29" s="12"/>
      <c r="G29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421875" defaultRowHeight="15" zeroHeight="false" outlineLevelRow="0" outlineLevelCol="0"/>
  <cols>
    <col collapsed="false" customWidth="true" hidden="false" outlineLevel="0" max="1" min="1" style="0" width="22.42"/>
    <col collapsed="false" customWidth="true" hidden="false" outlineLevel="0" max="2" min="2" style="0" width="15.28"/>
    <col collapsed="false" customWidth="true" hidden="false" outlineLevel="0" max="3" min="3" style="0" width="12.7"/>
    <col collapsed="false" customWidth="true" hidden="false" outlineLevel="0" max="4" min="4" style="0" width="12.28"/>
    <col collapsed="false" customWidth="true" hidden="false" outlineLevel="0" max="5" min="5" style="0" width="11.7"/>
  </cols>
  <sheetData>
    <row r="1" customFormat="false" ht="15" hidden="false" customHeight="false" outlineLevel="0" collapsed="false">
      <c r="A1" s="1" t="s">
        <v>0</v>
      </c>
    </row>
    <row r="2" customFormat="false" ht="17.25" hidden="false" customHeight="false" outlineLevel="0" collapsed="false">
      <c r="A2" s="2" t="s">
        <v>1</v>
      </c>
      <c r="B2" s="3" t="n">
        <f aca="false">4.8*8*3</f>
        <v>115.2</v>
      </c>
      <c r="C2" s="4"/>
      <c r="D2" s="4"/>
      <c r="E2" s="4"/>
      <c r="F2" s="4"/>
      <c r="G2" s="4"/>
      <c r="H2" s="4"/>
      <c r="I2" s="14"/>
    </row>
    <row r="3" customFormat="false" ht="17.25" hidden="false" customHeight="false" outlineLevel="0" collapsed="false">
      <c r="A3" s="2" t="s">
        <v>2</v>
      </c>
      <c r="B3" s="3" t="n">
        <f aca="false">38.4</f>
        <v>38.4</v>
      </c>
      <c r="C3" s="4"/>
      <c r="D3" s="4"/>
      <c r="E3" s="4"/>
      <c r="F3" s="4"/>
      <c r="G3" s="4"/>
      <c r="H3" s="4"/>
      <c r="I3" s="14"/>
    </row>
    <row r="4" customFormat="false" ht="15" hidden="false" customHeight="false" outlineLevel="0" collapsed="false">
      <c r="A4" s="2" t="s">
        <v>3</v>
      </c>
      <c r="B4" s="3" t="n">
        <f aca="false">3</f>
        <v>3</v>
      </c>
      <c r="C4" s="4"/>
      <c r="D4" s="4"/>
      <c r="E4" s="4"/>
      <c r="F4" s="4"/>
      <c r="G4" s="4"/>
      <c r="H4" s="4"/>
      <c r="I4" s="14"/>
    </row>
    <row r="5" customFormat="false" ht="17.25" hidden="false" customHeight="false" outlineLevel="0" collapsed="false">
      <c r="A5" s="2" t="s">
        <v>4</v>
      </c>
      <c r="B5" s="3" t="n">
        <f aca="false">2.8</f>
        <v>2.8</v>
      </c>
      <c r="C5" s="4"/>
      <c r="D5" s="4"/>
      <c r="E5" s="4"/>
      <c r="F5" s="4"/>
      <c r="G5" s="4"/>
      <c r="H5" s="4"/>
      <c r="I5" s="14"/>
    </row>
    <row r="6" customFormat="false" ht="17.25" hidden="false" customHeight="false" outlineLevel="0" collapsed="false">
      <c r="A6" s="2" t="s">
        <v>5</v>
      </c>
      <c r="B6" s="3" t="n">
        <f aca="false">2.8</f>
        <v>2.8</v>
      </c>
      <c r="C6" s="4"/>
      <c r="D6" s="4"/>
      <c r="E6" s="4"/>
      <c r="F6" s="4"/>
      <c r="G6" s="4"/>
      <c r="H6" s="4"/>
      <c r="I6" s="14"/>
    </row>
    <row r="7" customFormat="false" ht="17.25" hidden="false" customHeight="false" outlineLevel="0" collapsed="false">
      <c r="A7" s="2" t="s">
        <v>6</v>
      </c>
      <c r="B7" s="3" t="n">
        <f aca="false">2.15</f>
        <v>2.15</v>
      </c>
      <c r="C7" s="4"/>
      <c r="D7" s="4"/>
      <c r="E7" s="4"/>
      <c r="F7" s="4"/>
      <c r="G7" s="4"/>
      <c r="H7" s="4"/>
      <c r="I7" s="14"/>
    </row>
    <row r="8" customFormat="false" ht="17.25" hidden="false" customHeight="false" outlineLevel="0" collapsed="false">
      <c r="A8" s="2" t="s">
        <v>7</v>
      </c>
      <c r="B8" s="3" t="n">
        <v>0</v>
      </c>
      <c r="C8" s="4"/>
      <c r="D8" s="4"/>
      <c r="E8" s="4"/>
      <c r="F8" s="4"/>
      <c r="G8" s="4"/>
      <c r="H8" s="4"/>
      <c r="I8" s="1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14"/>
    </row>
    <row r="10" customFormat="false" ht="15" hidden="false" customHeight="false" outlineLevel="0" collapsed="false">
      <c r="A10" s="5" t="s">
        <v>8</v>
      </c>
      <c r="B10" s="4"/>
      <c r="C10" s="4"/>
      <c r="D10" s="4"/>
      <c r="E10" s="4"/>
      <c r="F10" s="4"/>
      <c r="G10" s="4"/>
      <c r="H10" s="4"/>
      <c r="I10" s="14"/>
    </row>
    <row r="11" customFormat="false" ht="16.5" hidden="false" customHeight="false" outlineLevel="0" collapsed="false">
      <c r="A11" s="6"/>
      <c r="B11" s="2" t="s">
        <v>9</v>
      </c>
      <c r="C11" s="2" t="s">
        <v>10</v>
      </c>
      <c r="D11" s="4"/>
      <c r="E11" s="4"/>
      <c r="F11" s="4"/>
      <c r="G11" s="4"/>
      <c r="H11" s="4"/>
      <c r="I11" s="14"/>
    </row>
    <row r="12" customFormat="false" ht="17.25" hidden="false" customHeight="false" outlineLevel="0" collapsed="false">
      <c r="A12" s="2" t="s">
        <v>11</v>
      </c>
      <c r="B12" s="3" t="n">
        <f aca="false">4.5*3.9-0.9</f>
        <v>16.65</v>
      </c>
      <c r="C12" s="3" t="n">
        <f aca="false">B12*B5</f>
        <v>46.62</v>
      </c>
      <c r="D12" s="4"/>
      <c r="E12" s="4"/>
      <c r="F12" s="4"/>
      <c r="G12" s="4"/>
      <c r="H12" s="4"/>
      <c r="I12" s="14"/>
    </row>
    <row r="13" customFormat="false" ht="17.25" hidden="false" customHeight="false" outlineLevel="0" collapsed="false">
      <c r="A13" s="2" t="s">
        <v>12</v>
      </c>
      <c r="B13" s="3" t="n">
        <f aca="false">9.8+17.1</f>
        <v>26.9</v>
      </c>
      <c r="C13" s="3" t="n">
        <f aca="false">B13*B6</f>
        <v>75.32</v>
      </c>
      <c r="D13" s="4"/>
      <c r="E13" s="4"/>
      <c r="F13" s="4"/>
      <c r="G13" s="4"/>
      <c r="H13" s="4"/>
      <c r="I13" s="14"/>
    </row>
    <row r="14" customFormat="false" ht="17.25" hidden="false" customHeight="false" outlineLevel="0" collapsed="false">
      <c r="A14" s="2" t="s">
        <v>13</v>
      </c>
      <c r="B14" s="3" t="n">
        <f aca="false">2.4*3.5</f>
        <v>8.4</v>
      </c>
      <c r="C14" s="3" t="n">
        <f aca="false">B14*B5</f>
        <v>23.52</v>
      </c>
      <c r="D14" s="4"/>
      <c r="E14" s="4"/>
      <c r="F14" s="4"/>
      <c r="G14" s="4"/>
      <c r="H14" s="4"/>
      <c r="I14" s="14"/>
    </row>
    <row r="15" customFormat="false" ht="17.25" hidden="false" customHeight="false" outlineLevel="0" collapsed="false">
      <c r="A15" s="2" t="s">
        <v>14</v>
      </c>
      <c r="B15" s="3" t="n">
        <f aca="false">1.6*2</f>
        <v>3.2</v>
      </c>
      <c r="C15" s="3" t="n">
        <f aca="false">B15*B6</f>
        <v>8.96</v>
      </c>
      <c r="D15" s="4"/>
      <c r="E15" s="4"/>
      <c r="F15" s="4"/>
      <c r="G15" s="4"/>
      <c r="H15" s="4"/>
      <c r="I15" s="14"/>
    </row>
    <row r="16" customFormat="false" ht="17.25" hidden="false" customHeight="false" outlineLevel="0" collapsed="false">
      <c r="A16" s="2" t="s">
        <v>15</v>
      </c>
      <c r="B16" s="3" t="n">
        <f aca="false">2.4*3.5+4.8*8</f>
        <v>46.8</v>
      </c>
      <c r="C16" s="3" t="n">
        <f aca="false">8.4*B5+2.15*4*4.8</f>
        <v>64.8</v>
      </c>
      <c r="D16" s="4"/>
      <c r="E16" s="4"/>
      <c r="F16" s="4"/>
      <c r="G16" s="4"/>
      <c r="H16" s="4"/>
      <c r="I16" s="14"/>
    </row>
    <row r="17" customFormat="false" ht="17.25" hidden="false" customHeight="false" outlineLevel="0" collapsed="false">
      <c r="A17" s="2" t="s">
        <v>16</v>
      </c>
      <c r="B17" s="3" t="n">
        <f aca="false">B2-B12-B13-B14-B15-B16</f>
        <v>13.25</v>
      </c>
      <c r="C17" s="3" t="n">
        <f aca="false">B17*B5</f>
        <v>37.0999999999999</v>
      </c>
      <c r="D17" s="4"/>
      <c r="E17" s="4"/>
      <c r="F17" s="4"/>
      <c r="G17" s="4"/>
      <c r="H17" s="4"/>
      <c r="I17" s="1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14"/>
    </row>
    <row r="19" customFormat="false" ht="15" hidden="false" customHeight="false" outlineLevel="0" collapsed="false">
      <c r="A19" s="5" t="s">
        <v>17</v>
      </c>
      <c r="B19" s="4"/>
      <c r="C19" s="4"/>
      <c r="D19" s="4"/>
      <c r="E19" s="4"/>
      <c r="F19" s="4"/>
      <c r="G19" s="4"/>
      <c r="H19" s="4"/>
      <c r="I19" s="14"/>
    </row>
    <row r="20" customFormat="false" ht="15" hidden="false" customHeight="false" outlineLevel="0" collapsed="false">
      <c r="A20" s="9"/>
      <c r="B20" s="8" t="s">
        <v>18</v>
      </c>
      <c r="C20" s="8" t="s">
        <v>19</v>
      </c>
      <c r="D20" s="8" t="s">
        <v>20</v>
      </c>
      <c r="E20" s="8" t="s">
        <v>21</v>
      </c>
      <c r="F20" s="8" t="s">
        <v>22</v>
      </c>
      <c r="G20" s="8" t="s">
        <v>23</v>
      </c>
      <c r="H20" s="4"/>
      <c r="I20" s="14"/>
    </row>
    <row r="21" customFormat="false" ht="17.25" hidden="false" customHeight="true" outlineLevel="0" collapsed="false">
      <c r="A21" s="9" t="s">
        <v>24</v>
      </c>
      <c r="B21" s="10" t="n">
        <f aca="false">3*B5-B22-B25</f>
        <v>6.4</v>
      </c>
      <c r="C21" s="10" t="n">
        <f aca="false">(2.8+3.8)*B5-C22</f>
        <v>15.48</v>
      </c>
      <c r="D21" s="10" t="n">
        <f aca="false">2.4*B5-D22</f>
        <v>5.72</v>
      </c>
      <c r="E21" s="10" t="n">
        <f aca="false">2*B5-E22</f>
        <v>4.6</v>
      </c>
      <c r="F21" s="10" t="n">
        <f aca="false">2.4*B5-F22-F25</f>
        <v>4.57</v>
      </c>
      <c r="G21" s="10" t="n">
        <f aca="false">2.8*B5-G25</f>
        <v>5.69</v>
      </c>
      <c r="H21" s="4"/>
      <c r="I21" s="14"/>
    </row>
    <row r="22" customFormat="false" ht="17.25" hidden="false" customHeight="false" outlineLevel="0" collapsed="false">
      <c r="A22" s="9" t="s">
        <v>25</v>
      </c>
      <c r="B22" s="10" t="n">
        <v>2</v>
      </c>
      <c r="C22" s="10" t="n">
        <v>3</v>
      </c>
      <c r="D22" s="10" t="n">
        <v>1</v>
      </c>
      <c r="E22" s="10" t="n">
        <v>1</v>
      </c>
      <c r="F22" s="10" t="n">
        <v>0</v>
      </c>
      <c r="G22" s="10" t="n">
        <v>0</v>
      </c>
      <c r="H22" s="4" t="n">
        <f aca="false">SUM(B22:G22)</f>
        <v>7</v>
      </c>
      <c r="I22" s="14"/>
    </row>
    <row r="23" customFormat="false" ht="17.25" hidden="false" customHeight="false" outlineLevel="0" collapsed="false">
      <c r="A23" s="9" t="s">
        <v>26</v>
      </c>
      <c r="B23" s="10" t="n">
        <v>0</v>
      </c>
      <c r="C23" s="10" t="n">
        <v>0</v>
      </c>
      <c r="D23" s="10" t="n">
        <v>0</v>
      </c>
      <c r="E23" s="10" t="n">
        <v>0</v>
      </c>
      <c r="F23" s="3" t="n">
        <f aca="false">4.51*4.8*2</f>
        <v>43.296</v>
      </c>
      <c r="G23" s="3" t="n">
        <v>0</v>
      </c>
      <c r="H23" s="4" t="n">
        <f aca="false">SUM(B21:G21)+SUM(B22:G22)+SUM(B23:G23)+SUM(B26:G26)+SUM(B25:G25)</f>
        <v>203.856</v>
      </c>
      <c r="I23" s="14"/>
    </row>
    <row r="24" customFormat="false" ht="17.25" hidden="false" customHeight="false" outlineLevel="0" collapsed="false">
      <c r="A24" s="9" t="s">
        <v>27</v>
      </c>
      <c r="B24" s="10" t="n">
        <v>16.65</v>
      </c>
      <c r="C24" s="10" t="n">
        <v>0</v>
      </c>
      <c r="D24" s="10" t="n">
        <v>8.4</v>
      </c>
      <c r="E24" s="10" t="n">
        <v>0</v>
      </c>
      <c r="F24" s="10" t="n">
        <v>8.4</v>
      </c>
      <c r="G24" s="10" t="n">
        <v>0</v>
      </c>
      <c r="H24" s="4"/>
      <c r="I24" s="14"/>
    </row>
    <row r="25" customFormat="false" ht="17.25" hidden="false" customHeight="false" outlineLevel="0" collapsed="false">
      <c r="A25" s="9" t="s">
        <v>28</v>
      </c>
      <c r="B25" s="10" t="n">
        <v>0</v>
      </c>
      <c r="C25" s="10" t="n">
        <v>0</v>
      </c>
      <c r="D25" s="10" t="n">
        <v>0</v>
      </c>
      <c r="E25" s="10" t="n">
        <v>0</v>
      </c>
      <c r="F25" s="10" t="n">
        <v>2.15</v>
      </c>
      <c r="G25" s="10" t="n">
        <v>2.15</v>
      </c>
      <c r="H25" s="4"/>
      <c r="I25" s="14"/>
    </row>
    <row r="26" customFormat="false" ht="17.25" hidden="false" customHeight="false" outlineLevel="0" collapsed="false">
      <c r="A26" s="9" t="s">
        <v>29</v>
      </c>
      <c r="B26" s="10" t="n">
        <f aca="false">4.5*B5</f>
        <v>12.6</v>
      </c>
      <c r="C26" s="10" t="n">
        <f aca="false">8*B6</f>
        <v>22.4</v>
      </c>
      <c r="D26" s="10" t="n">
        <f aca="false">3.5*B5</f>
        <v>9.8</v>
      </c>
      <c r="E26" s="10" t="n">
        <f aca="false">1.6*B6</f>
        <v>4.48</v>
      </c>
      <c r="F26" s="10" t="n">
        <f aca="false">3.5*B5+4*2.15*2</f>
        <v>27</v>
      </c>
      <c r="G26" s="10" t="n">
        <f aca="false">4.5*B5+6.4*B6</f>
        <v>30.52</v>
      </c>
      <c r="H26" s="4"/>
      <c r="I26" s="14"/>
    </row>
    <row r="27" customFormat="false" ht="17.25" hidden="false" customHeight="true" outlineLevel="0" collapsed="false">
      <c r="A27" s="9" t="s">
        <v>30</v>
      </c>
      <c r="B27" s="10" t="n">
        <f aca="false">(3.9+4.5+0.9)*B6</f>
        <v>26.04</v>
      </c>
      <c r="C27" s="10" t="n">
        <f aca="false">(8+0.9)*B6</f>
        <v>24.92</v>
      </c>
      <c r="D27" s="10" t="n">
        <f aca="false">(2.4+3.5)*B5</f>
        <v>16.52</v>
      </c>
      <c r="E27" s="10" t="n">
        <f aca="false">(2+1.6)*B6</f>
        <v>10.08</v>
      </c>
      <c r="F27" s="10" t="n">
        <f aca="false">(3.5+2.4)*B5</f>
        <v>16.52</v>
      </c>
      <c r="G27" s="10" t="n">
        <f aca="false">(4.5+0.9)*B5+(4.5+1.9+2+0.9)*B5</f>
        <v>41.16</v>
      </c>
      <c r="H27" s="4"/>
      <c r="I27" s="14"/>
    </row>
    <row r="28" customFormat="false" ht="15" hidden="false" customHeight="false" outlineLevel="0" collapsed="false">
      <c r="B28" s="11"/>
      <c r="E28" s="11"/>
      <c r="F28" s="11"/>
      <c r="G28" s="11"/>
    </row>
    <row r="29" customFormat="false" ht="15" hidden="false" customHeight="false" outlineLevel="0" collapsed="false">
      <c r="B29" s="12"/>
      <c r="C29" s="12"/>
      <c r="D29" s="12"/>
      <c r="E29" s="12"/>
      <c r="F29" s="12"/>
      <c r="G29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2013-01-16T16:39:22Z</dcterms:created>
  <dc:creator>Sar</dc:creator>
  <dc:description/>
  <dc:language>en-US</dc:language>
  <cp:lastModifiedBy>pietro</cp:lastModifiedBy>
  <dcterms:modified xsi:type="dcterms:W3CDTF">2021-10-29T16:31:05Z</dcterms:modified>
  <cp:revision>0</cp:revision>
  <dc:subject/>
  <dc:title/>
</cp:coreProperties>
</file>